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\Documents\Dropbox\LLID\Nick Stanley\Profit Calculator\"/>
    </mc:Choice>
  </mc:AlternateContent>
  <xr:revisionPtr revIDLastSave="0" documentId="13_ncr:1_{93C22027-D61F-4848-9034-53712C99C337}" xr6:coauthVersionLast="43" xr6:coauthVersionMax="43" xr10:uidLastSave="{00000000-0000-0000-0000-000000000000}"/>
  <workbookProtection workbookAlgorithmName="SHA-512" workbookHashValue="OD6tgDGrTUmAzT93gkPJVJTMKnjAjreGJYD9/rrTaVBB9K7uE2+Yc2jVpSYEMA1/PulC9GWCcxZ4lWXN7f896w==" workbookSaltValue="710D52XZ2QISJn2cLT4b+g==" workbookSpinCount="100000" lockStructure="1"/>
  <bookViews>
    <workbookView xWindow="-108" yWindow="-108" windowWidth="23256" windowHeight="12720" tabRatio="717" firstSheet="1" activeTab="1" xr2:uid="{00000000-000D-0000-FFFF-FFFF00000000}"/>
  </bookViews>
  <sheets>
    <sheet name="Macro Site " sheetId="1" state="hidden" r:id="rId1"/>
    <sheet name="Macro Light" sheetId="9" r:id="rId2"/>
    <sheet name="Pico Plus Site" sheetId="8" state="hidden" r:id="rId3"/>
    <sheet name="Pico Site" sheetId="4" state="hidden" r:id="rId4"/>
    <sheet name="Assumptions" sheetId="2" state="hidden" r:id="rId5"/>
    <sheet name="Macro -Time Line" sheetId="6" state="hidden" r:id="rId6"/>
    <sheet name="Macro Light -Time Line" sheetId="10" state="hidden" r:id="rId7"/>
  </sheets>
  <definedNames>
    <definedName name="ML">Assumptions!$K$99:$X$118</definedName>
    <definedName name="Step">Assumptions!$J$122:$O$181</definedName>
    <definedName name="TLC">'Macro Light -Time Line'!$E$4:$X$13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2" l="1"/>
  <c r="R26" i="2"/>
  <c r="R32" i="2" s="1"/>
  <c r="R33" i="2" s="1"/>
  <c r="I21" i="2" s="1"/>
  <c r="M130" i="2" l="1"/>
  <c r="G65" i="2" l="1"/>
  <c r="M13" i="2"/>
  <c r="M14" i="2"/>
  <c r="M15" i="2"/>
  <c r="M12" i="2"/>
  <c r="E12" i="10"/>
  <c r="Q118" i="2"/>
  <c r="O100" i="2"/>
  <c r="M125" i="2"/>
  <c r="L126" i="2"/>
  <c r="M124" i="2"/>
  <c r="L125" i="2"/>
  <c r="M126" i="2" s="1"/>
  <c r="N123" i="2"/>
  <c r="M123" i="2"/>
  <c r="L123" i="2"/>
  <c r="L122" i="2"/>
  <c r="N122" i="2"/>
  <c r="M122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23" i="2"/>
  <c r="K124" i="2"/>
  <c r="S99" i="2"/>
  <c r="N125" i="2"/>
  <c r="M127" i="2"/>
  <c r="L128" i="2"/>
  <c r="O122" i="2"/>
  <c r="O123" i="2" s="1"/>
  <c r="N124" i="2"/>
  <c r="M118" i="2"/>
  <c r="X5" i="10" s="1"/>
  <c r="M114" i="2"/>
  <c r="T5" i="10" s="1"/>
  <c r="M110" i="2"/>
  <c r="M106" i="2"/>
  <c r="M102" i="2"/>
  <c r="M99" i="2" s="1"/>
  <c r="E5" i="10" s="1"/>
  <c r="M129" i="2"/>
  <c r="L130" i="2"/>
  <c r="E83" i="2"/>
  <c r="F83" i="2" s="1"/>
  <c r="G86" i="2" s="1"/>
  <c r="E76" i="2"/>
  <c r="M131" i="2"/>
  <c r="L132" i="2" s="1"/>
  <c r="H14" i="9"/>
  <c r="E75" i="2"/>
  <c r="F65" i="2"/>
  <c r="I11" i="2"/>
  <c r="D24" i="10"/>
  <c r="I14" i="2"/>
  <c r="E124" i="2"/>
  <c r="F124" i="2" s="1"/>
  <c r="E125" i="2"/>
  <c r="F125" i="2" s="1"/>
  <c r="E126" i="2"/>
  <c r="F126" i="2" s="1"/>
  <c r="E129" i="2"/>
  <c r="F129" i="2" s="1"/>
  <c r="E136" i="2"/>
  <c r="F136" i="2" s="1"/>
  <c r="E137" i="2"/>
  <c r="F137" i="2" s="1"/>
  <c r="E77" i="2"/>
  <c r="E138" i="2" s="1"/>
  <c r="F138" i="2" s="1"/>
  <c r="E141" i="2"/>
  <c r="F141" i="2"/>
  <c r="D75" i="2"/>
  <c r="D76" i="2"/>
  <c r="D77" i="2"/>
  <c r="D80" i="2"/>
  <c r="F80" i="2" s="1"/>
  <c r="F81" i="2" s="1"/>
  <c r="G88" i="2" s="1"/>
  <c r="E89" i="2" s="1"/>
  <c r="C9" i="9" s="1"/>
  <c r="F66" i="2"/>
  <c r="F67" i="2"/>
  <c r="F70" i="2"/>
  <c r="G66" i="2"/>
  <c r="G67" i="2"/>
  <c r="G70" i="2"/>
  <c r="E88" i="2"/>
  <c r="M77" i="2"/>
  <c r="M16" i="2"/>
  <c r="L17" i="2"/>
  <c r="M7" i="2"/>
  <c r="N7" i="2" s="1"/>
  <c r="M17" i="2" s="1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E49" i="2"/>
  <c r="E109" i="2"/>
  <c r="F109" i="2" s="1"/>
  <c r="E50" i="2"/>
  <c r="E48" i="2"/>
  <c r="E108" i="2"/>
  <c r="F108" i="2" s="1"/>
  <c r="E154" i="2"/>
  <c r="F154" i="2"/>
  <c r="E155" i="2"/>
  <c r="E156" i="2"/>
  <c r="F156" i="2" s="1"/>
  <c r="E160" i="2"/>
  <c r="F160" i="2"/>
  <c r="F163" i="2"/>
  <c r="G163" i="2"/>
  <c r="G164" i="2"/>
  <c r="E157" i="2"/>
  <c r="F157" i="2" s="1"/>
  <c r="F174" i="2"/>
  <c r="F175" i="2"/>
  <c r="E180" i="2"/>
  <c r="F180" i="2" s="1"/>
  <c r="F185" i="2" s="1"/>
  <c r="F186" i="2" s="1"/>
  <c r="F187" i="2" s="1"/>
  <c r="E18" i="10" s="1"/>
  <c r="E177" i="2"/>
  <c r="F177" i="2"/>
  <c r="G183" i="2"/>
  <c r="G184" i="2" s="1"/>
  <c r="E184" i="2" s="1"/>
  <c r="F184" i="2" s="1"/>
  <c r="F183" i="2"/>
  <c r="E179" i="2"/>
  <c r="E158" i="2"/>
  <c r="E56" i="2"/>
  <c r="H66" i="2" s="1"/>
  <c r="G38" i="2"/>
  <c r="E96" i="2"/>
  <c r="F96" i="2" s="1"/>
  <c r="F102" i="2" s="1"/>
  <c r="E97" i="2"/>
  <c r="F97" i="2"/>
  <c r="E98" i="2"/>
  <c r="F98" i="2" s="1"/>
  <c r="E101" i="2"/>
  <c r="F101" i="2"/>
  <c r="E110" i="2"/>
  <c r="F110" i="2" s="1"/>
  <c r="E113" i="2"/>
  <c r="F113" i="2"/>
  <c r="P15" i="2"/>
  <c r="O93" i="2"/>
  <c r="X12" i="6" s="1"/>
  <c r="M90" i="2"/>
  <c r="M91" i="2" s="1"/>
  <c r="O89" i="2"/>
  <c r="T12" i="6" s="1"/>
  <c r="M86" i="2"/>
  <c r="M87" i="2" s="1"/>
  <c r="O85" i="2"/>
  <c r="P12" i="6" s="1"/>
  <c r="Q14" i="6" s="1"/>
  <c r="Q53" i="6" s="1"/>
  <c r="R53" i="6" s="1"/>
  <c r="S53" i="6" s="1"/>
  <c r="T53" i="6" s="1"/>
  <c r="U53" i="6" s="1"/>
  <c r="V53" i="6" s="1"/>
  <c r="W53" i="6" s="1"/>
  <c r="X53" i="6" s="1"/>
  <c r="M82" i="2"/>
  <c r="M83" i="2" s="1"/>
  <c r="O81" i="2"/>
  <c r="L12" i="6" s="1"/>
  <c r="X5" i="6"/>
  <c r="T5" i="6"/>
  <c r="T34" i="6" s="1"/>
  <c r="P5" i="6"/>
  <c r="L5" i="6"/>
  <c r="G39" i="2"/>
  <c r="G40" i="2"/>
  <c r="G43" i="2"/>
  <c r="D48" i="2"/>
  <c r="F48" i="2"/>
  <c r="D49" i="2"/>
  <c r="D50" i="2"/>
  <c r="F50" i="2" s="1"/>
  <c r="F54" i="2" s="1"/>
  <c r="F56" i="2" s="1"/>
  <c r="G57" i="2" s="1"/>
  <c r="E57" i="2" s="1"/>
  <c r="D53" i="2"/>
  <c r="F53" i="2" s="1"/>
  <c r="F38" i="2"/>
  <c r="F39" i="2"/>
  <c r="F40" i="2"/>
  <c r="F43" i="2"/>
  <c r="Q74" i="2"/>
  <c r="A7" i="9"/>
  <c r="A8" i="9" s="1"/>
  <c r="A12" i="9"/>
  <c r="A13" i="9" s="1"/>
  <c r="A14" i="9" s="1"/>
  <c r="A15" i="9" s="1"/>
  <c r="A16" i="9" s="1"/>
  <c r="A19" i="9"/>
  <c r="A20" i="9" s="1"/>
  <c r="A21" i="9" s="1"/>
  <c r="A27" i="9"/>
  <c r="A28" i="9" s="1"/>
  <c r="A29" i="9" s="1"/>
  <c r="A30" i="9" s="1"/>
  <c r="D25" i="6"/>
  <c r="G25" i="6" s="1"/>
  <c r="D13" i="6"/>
  <c r="E13" i="6"/>
  <c r="M8" i="2"/>
  <c r="N8" i="2" s="1"/>
  <c r="Q15" i="2"/>
  <c r="I28" i="2"/>
  <c r="E6" i="1"/>
  <c r="F6" i="1"/>
  <c r="G6" i="1"/>
  <c r="H12" i="1"/>
  <c r="H16" i="1" s="1"/>
  <c r="B13" i="8"/>
  <c r="C13" i="8"/>
  <c r="B20" i="8"/>
  <c r="C20" i="8" s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3" i="1"/>
  <c r="A34" i="1" s="1"/>
  <c r="A35" i="1" s="1"/>
  <c r="A36" i="1" s="1"/>
  <c r="E35" i="1"/>
  <c r="E36" i="1" s="1"/>
  <c r="B13" i="6"/>
  <c r="B13" i="4"/>
  <c r="B20" i="4"/>
  <c r="C20" i="4" s="1"/>
  <c r="P85" i="2"/>
  <c r="N90" i="2"/>
  <c r="C13" i="4"/>
  <c r="H39" i="2"/>
  <c r="H38" i="2"/>
  <c r="N53" i="2"/>
  <c r="N40" i="2"/>
  <c r="N36" i="2"/>
  <c r="N32" i="2"/>
  <c r="P34" i="6"/>
  <c r="N24" i="2"/>
  <c r="N20" i="2"/>
  <c r="M76" i="2"/>
  <c r="O76" i="2"/>
  <c r="P76" i="2"/>
  <c r="M74" i="2"/>
  <c r="G44" i="2"/>
  <c r="H5" i="6"/>
  <c r="H26" i="6"/>
  <c r="M75" i="2"/>
  <c r="F5" i="6"/>
  <c r="F26" i="6" s="1"/>
  <c r="M78" i="2"/>
  <c r="O78" i="2"/>
  <c r="I12" i="6"/>
  <c r="P89" i="2"/>
  <c r="P93" i="2"/>
  <c r="N82" i="2"/>
  <c r="F44" i="2"/>
  <c r="F49" i="2"/>
  <c r="O90" i="2"/>
  <c r="Q90" i="2"/>
  <c r="E14" i="6"/>
  <c r="E41" i="6" s="1"/>
  <c r="E15" i="6" s="1"/>
  <c r="L34" i="6"/>
  <c r="N45" i="2"/>
  <c r="N49" i="2"/>
  <c r="N13" i="2"/>
  <c r="N12" i="2"/>
  <c r="N57" i="2"/>
  <c r="N28" i="2"/>
  <c r="N44" i="2"/>
  <c r="N16" i="2"/>
  <c r="N60" i="2"/>
  <c r="N48" i="2"/>
  <c r="N64" i="2"/>
  <c r="N52" i="2"/>
  <c r="G12" i="6"/>
  <c r="H14" i="6" s="1"/>
  <c r="U5" i="6"/>
  <c r="O77" i="2"/>
  <c r="E102" i="2"/>
  <c r="N56" i="2"/>
  <c r="N77" i="2"/>
  <c r="I5" i="6"/>
  <c r="I34" i="6" s="1"/>
  <c r="H67" i="2"/>
  <c r="H70" i="2"/>
  <c r="N63" i="2"/>
  <c r="N59" i="2"/>
  <c r="N55" i="2"/>
  <c r="N51" i="2"/>
  <c r="N47" i="2"/>
  <c r="N43" i="2"/>
  <c r="N39" i="2"/>
  <c r="N35" i="2"/>
  <c r="N31" i="2"/>
  <c r="N27" i="2"/>
  <c r="N23" i="2"/>
  <c r="H40" i="2"/>
  <c r="N86" i="2"/>
  <c r="G5" i="6"/>
  <c r="G26" i="6" s="1"/>
  <c r="G27" i="6" s="1"/>
  <c r="M5" i="6"/>
  <c r="M34" i="6" s="1"/>
  <c r="N61" i="2"/>
  <c r="N41" i="2"/>
  <c r="N37" i="2"/>
  <c r="N33" i="2"/>
  <c r="N29" i="2"/>
  <c r="N25" i="2"/>
  <c r="N21" i="2"/>
  <c r="E130" i="2"/>
  <c r="F71" i="2"/>
  <c r="F75" i="2"/>
  <c r="G71" i="2"/>
  <c r="F77" i="2"/>
  <c r="P81" i="2"/>
  <c r="Q5" i="6"/>
  <c r="F176" i="2"/>
  <c r="E181" i="2"/>
  <c r="N17" i="2"/>
  <c r="O82" i="2"/>
  <c r="F155" i="2"/>
  <c r="E161" i="2"/>
  <c r="E164" i="2" s="1"/>
  <c r="F164" i="2" s="1"/>
  <c r="O86" i="2"/>
  <c r="N15" i="2"/>
  <c r="N19" i="2"/>
  <c r="N14" i="2"/>
  <c r="N46" i="2"/>
  <c r="N50" i="2"/>
  <c r="N54" i="2"/>
  <c r="N58" i="2"/>
  <c r="N62" i="2"/>
  <c r="N18" i="2"/>
  <c r="N22" i="2"/>
  <c r="N26" i="2"/>
  <c r="N30" i="2"/>
  <c r="N34" i="2"/>
  <c r="N38" i="2"/>
  <c r="N42" i="2"/>
  <c r="H65" i="2"/>
  <c r="F76" i="2"/>
  <c r="P5" i="10"/>
  <c r="N78" i="2"/>
  <c r="Q78" i="2"/>
  <c r="M79" i="2"/>
  <c r="N79" i="2" s="1"/>
  <c r="P78" i="2"/>
  <c r="H29" i="6"/>
  <c r="N76" i="2"/>
  <c r="O75" i="2"/>
  <c r="F13" i="6"/>
  <c r="N75" i="2"/>
  <c r="G18" i="6"/>
  <c r="U12" i="6"/>
  <c r="P90" i="2"/>
  <c r="P77" i="2"/>
  <c r="H18" i="6"/>
  <c r="H12" i="6"/>
  <c r="Q77" i="2"/>
  <c r="F12" i="6"/>
  <c r="F25" i="6" s="1"/>
  <c r="O74" i="2"/>
  <c r="E5" i="6"/>
  <c r="U34" i="6"/>
  <c r="H15" i="9"/>
  <c r="Q12" i="6"/>
  <c r="P86" i="2"/>
  <c r="Q86" i="2"/>
  <c r="Q82" i="2"/>
  <c r="M12" i="6"/>
  <c r="P82" i="2"/>
  <c r="Q18" i="6"/>
  <c r="Q34" i="6"/>
  <c r="F29" i="6"/>
  <c r="J5" i="6"/>
  <c r="O79" i="2"/>
  <c r="M80" i="2"/>
  <c r="P75" i="2"/>
  <c r="Q76" i="2"/>
  <c r="U14" i="6"/>
  <c r="U57" i="6" s="1"/>
  <c r="V57" i="6" s="1"/>
  <c r="W57" i="6" s="1"/>
  <c r="X57" i="6" s="1"/>
  <c r="U25" i="6"/>
  <c r="G9" i="9"/>
  <c r="D7" i="10"/>
  <c r="D9" i="10" s="1"/>
  <c r="D9" i="9"/>
  <c r="E18" i="6"/>
  <c r="E26" i="6"/>
  <c r="F18" i="6"/>
  <c r="I14" i="6"/>
  <c r="I45" i="6" s="1"/>
  <c r="J45" i="6" s="1"/>
  <c r="K45" i="6" s="1"/>
  <c r="L45" i="6" s="1"/>
  <c r="M45" i="6" s="1"/>
  <c r="N45" i="6" s="1"/>
  <c r="O45" i="6" s="1"/>
  <c r="P45" i="6" s="1"/>
  <c r="Q45" i="6" s="1"/>
  <c r="R45" i="6" s="1"/>
  <c r="S45" i="6" s="1"/>
  <c r="T45" i="6" s="1"/>
  <c r="U45" i="6" s="1"/>
  <c r="V45" i="6" s="1"/>
  <c r="W45" i="6" s="1"/>
  <c r="X45" i="6" s="1"/>
  <c r="P74" i="2"/>
  <c r="Q75" i="2"/>
  <c r="E12" i="6"/>
  <c r="G14" i="6"/>
  <c r="E29" i="6"/>
  <c r="H9" i="9"/>
  <c r="H11" i="9" s="1"/>
  <c r="E9" i="9"/>
  <c r="F9" i="9"/>
  <c r="J34" i="6"/>
  <c r="J12" i="6"/>
  <c r="Q79" i="2"/>
  <c r="P79" i="2"/>
  <c r="M14" i="6"/>
  <c r="M49" i="6" s="1"/>
  <c r="N49" i="6" s="1"/>
  <c r="O49" i="6" s="1"/>
  <c r="P49" i="6" s="1"/>
  <c r="Q49" i="6" s="1"/>
  <c r="R49" i="6" s="1"/>
  <c r="S49" i="6" s="1"/>
  <c r="T49" i="6" s="1"/>
  <c r="U49" i="6" s="1"/>
  <c r="V49" i="6" s="1"/>
  <c r="W49" i="6" s="1"/>
  <c r="X49" i="6" s="1"/>
  <c r="O80" i="2"/>
  <c r="K5" i="6"/>
  <c r="N80" i="2"/>
  <c r="N81" i="2"/>
  <c r="Q25" i="6"/>
  <c r="F14" i="6"/>
  <c r="C12" i="1" s="1"/>
  <c r="K18" i="6"/>
  <c r="K34" i="6"/>
  <c r="L18" i="6"/>
  <c r="K12" i="6"/>
  <c r="P80" i="2"/>
  <c r="Q80" i="2"/>
  <c r="Q81" i="2"/>
  <c r="J14" i="6"/>
  <c r="J46" i="6" s="1"/>
  <c r="K46" i="6" s="1"/>
  <c r="L46" i="6" s="1"/>
  <c r="M46" i="6" s="1"/>
  <c r="N46" i="6" s="1"/>
  <c r="O46" i="6" s="1"/>
  <c r="P46" i="6" s="1"/>
  <c r="Q46" i="6" s="1"/>
  <c r="R46" i="6" s="1"/>
  <c r="S46" i="6" s="1"/>
  <c r="T46" i="6" s="1"/>
  <c r="U46" i="6" s="1"/>
  <c r="K14" i="6"/>
  <c r="K47" i="6" s="1"/>
  <c r="K25" i="6"/>
  <c r="L14" i="6"/>
  <c r="L48" i="6" s="1"/>
  <c r="M48" i="6" s="1"/>
  <c r="N48" i="6" s="1"/>
  <c r="O48" i="6" s="1"/>
  <c r="P48" i="6" s="1"/>
  <c r="Q48" i="6" s="1"/>
  <c r="R48" i="6" s="1"/>
  <c r="S48" i="6" s="1"/>
  <c r="T48" i="6" s="1"/>
  <c r="U48" i="6" s="1"/>
  <c r="V48" i="6" s="1"/>
  <c r="W48" i="6" s="1"/>
  <c r="X48" i="6" s="1"/>
  <c r="V99" i="2" l="1"/>
  <c r="W99" i="2" s="1"/>
  <c r="E13" i="10" s="1"/>
  <c r="E40" i="10" s="1"/>
  <c r="E14" i="10" s="1"/>
  <c r="H19" i="9"/>
  <c r="O124" i="2"/>
  <c r="O125" i="2" s="1"/>
  <c r="I18" i="6"/>
  <c r="J25" i="6"/>
  <c r="H25" i="6"/>
  <c r="H27" i="6" s="1"/>
  <c r="H17" i="1" s="1"/>
  <c r="U18" i="6"/>
  <c r="E25" i="6"/>
  <c r="E27" i="6" s="1"/>
  <c r="M25" i="6"/>
  <c r="J18" i="6"/>
  <c r="G29" i="6"/>
  <c r="L25" i="6"/>
  <c r="T25" i="6"/>
  <c r="D12" i="1"/>
  <c r="M18" i="6"/>
  <c r="X34" i="6"/>
  <c r="I25" i="6"/>
  <c r="P25" i="6"/>
  <c r="X25" i="6"/>
  <c r="F41" i="6"/>
  <c r="F7" i="10"/>
  <c r="E7" i="10"/>
  <c r="H5" i="10"/>
  <c r="H25" i="10" s="1"/>
  <c r="P33" i="10"/>
  <c r="T33" i="10"/>
  <c r="X33" i="10"/>
  <c r="E17" i="10"/>
  <c r="E24" i="10"/>
  <c r="M100" i="2"/>
  <c r="N100" i="2" s="1"/>
  <c r="Q99" i="2" s="1"/>
  <c r="P100" i="2" s="1"/>
  <c r="M101" i="2"/>
  <c r="M103" i="2"/>
  <c r="N103" i="2" s="1"/>
  <c r="Q102" i="2" s="1"/>
  <c r="M111" i="2"/>
  <c r="M112" i="2" s="1"/>
  <c r="M113" i="2" s="1"/>
  <c r="M107" i="2"/>
  <c r="M5" i="10" s="1"/>
  <c r="M115" i="2"/>
  <c r="E28" i="10"/>
  <c r="M108" i="2"/>
  <c r="E25" i="10"/>
  <c r="L5" i="10"/>
  <c r="L47" i="6"/>
  <c r="V46" i="6"/>
  <c r="F27" i="6"/>
  <c r="C17" i="1" s="1"/>
  <c r="N126" i="2"/>
  <c r="L127" i="2"/>
  <c r="D8" i="1"/>
  <c r="D9" i="1" s="1"/>
  <c r="F8" i="1"/>
  <c r="F9" i="1" s="1"/>
  <c r="C8" i="1"/>
  <c r="C9" i="1" s="1"/>
  <c r="C9" i="8"/>
  <c r="G8" i="1"/>
  <c r="G9" i="1" s="1"/>
  <c r="D7" i="6"/>
  <c r="C9" i="4"/>
  <c r="E8" i="1"/>
  <c r="E9" i="1" s="1"/>
  <c r="H8" i="1"/>
  <c r="H9" i="1" s="1"/>
  <c r="O83" i="2"/>
  <c r="N5" i="6"/>
  <c r="N83" i="2"/>
  <c r="M84" i="2"/>
  <c r="M92" i="2"/>
  <c r="V5" i="6"/>
  <c r="N91" i="2"/>
  <c r="O91" i="2"/>
  <c r="M18" i="2"/>
  <c r="I26" i="6"/>
  <c r="I27" i="6" s="1"/>
  <c r="F142" i="2"/>
  <c r="F130" i="2"/>
  <c r="M133" i="2"/>
  <c r="L134" i="2" s="1"/>
  <c r="O87" i="2"/>
  <c r="M88" i="2"/>
  <c r="N87" i="2"/>
  <c r="R5" i="6"/>
  <c r="F165" i="2"/>
  <c r="F166" i="2" s="1"/>
  <c r="F114" i="2"/>
  <c r="F115" i="2" s="1"/>
  <c r="E116" i="2" s="1"/>
  <c r="R5" i="10" l="1"/>
  <c r="F40" i="10"/>
  <c r="G40" i="10" s="1"/>
  <c r="H40" i="10" s="1"/>
  <c r="I40" i="10" s="1"/>
  <c r="J40" i="10" s="1"/>
  <c r="K40" i="10" s="1"/>
  <c r="L40" i="10" s="1"/>
  <c r="M40" i="10" s="1"/>
  <c r="N40" i="10" s="1"/>
  <c r="O40" i="10" s="1"/>
  <c r="P40" i="10" s="1"/>
  <c r="Q40" i="10" s="1"/>
  <c r="R40" i="10" s="1"/>
  <c r="S40" i="10" s="1"/>
  <c r="T40" i="10" s="1"/>
  <c r="O126" i="2"/>
  <c r="F15" i="6"/>
  <c r="G41" i="6"/>
  <c r="H28" i="10"/>
  <c r="F5" i="10"/>
  <c r="I5" i="10"/>
  <c r="I7" i="10" s="1"/>
  <c r="M25" i="10"/>
  <c r="M7" i="10"/>
  <c r="M104" i="2"/>
  <c r="J5" i="10" s="1"/>
  <c r="E26" i="10"/>
  <c r="N112" i="2"/>
  <c r="Q111" i="2" s="1"/>
  <c r="N111" i="2"/>
  <c r="Q110" i="2" s="1"/>
  <c r="G5" i="10"/>
  <c r="G7" i="10" s="1"/>
  <c r="N102" i="2"/>
  <c r="Q101" i="2" s="1"/>
  <c r="Q5" i="10"/>
  <c r="R17" i="10" s="1"/>
  <c r="R18" i="10" s="1"/>
  <c r="N101" i="2"/>
  <c r="Q100" i="2" s="1"/>
  <c r="P101" i="2" s="1"/>
  <c r="M33" i="10"/>
  <c r="N107" i="2"/>
  <c r="Q106" i="2" s="1"/>
  <c r="N115" i="2"/>
  <c r="Q114" i="2" s="1"/>
  <c r="U5" i="10"/>
  <c r="U7" i="10" s="1"/>
  <c r="M116" i="2"/>
  <c r="N116" i="2" s="1"/>
  <c r="Q115" i="2" s="1"/>
  <c r="R33" i="10"/>
  <c r="N113" i="2"/>
  <c r="Q112" i="2" s="1"/>
  <c r="N114" i="2"/>
  <c r="Q113" i="2" s="1"/>
  <c r="S5" i="10"/>
  <c r="L33" i="10"/>
  <c r="L25" i="10"/>
  <c r="L8" i="10"/>
  <c r="M109" i="2"/>
  <c r="N5" i="10"/>
  <c r="N7" i="10" s="1"/>
  <c r="N108" i="2"/>
  <c r="Q107" i="2" s="1"/>
  <c r="M17" i="10"/>
  <c r="M18" i="10" s="1"/>
  <c r="B21" i="8"/>
  <c r="D35" i="6"/>
  <c r="B21" i="4"/>
  <c r="C22" i="4"/>
  <c r="C22" i="8"/>
  <c r="Q91" i="2"/>
  <c r="V12" i="6"/>
  <c r="P91" i="2"/>
  <c r="H20" i="1"/>
  <c r="G20" i="1"/>
  <c r="D20" i="1"/>
  <c r="N127" i="2"/>
  <c r="M128" i="2"/>
  <c r="H68" i="6"/>
  <c r="I68" i="6" s="1"/>
  <c r="J68" i="6" s="1"/>
  <c r="K68" i="6" s="1"/>
  <c r="L68" i="6" s="1"/>
  <c r="M68" i="6" s="1"/>
  <c r="N68" i="6" s="1"/>
  <c r="O68" i="6" s="1"/>
  <c r="P68" i="6" s="1"/>
  <c r="Q68" i="6" s="1"/>
  <c r="R68" i="6" s="1"/>
  <c r="S68" i="6" s="1"/>
  <c r="T68" i="6" s="1"/>
  <c r="U68" i="6" s="1"/>
  <c r="V68" i="6" s="1"/>
  <c r="W68" i="6" s="1"/>
  <c r="M73" i="6"/>
  <c r="N73" i="6" s="1"/>
  <c r="O73" i="6" s="1"/>
  <c r="P73" i="6" s="1"/>
  <c r="Q73" i="6" s="1"/>
  <c r="R73" i="6" s="1"/>
  <c r="S73" i="6" s="1"/>
  <c r="T73" i="6" s="1"/>
  <c r="U73" i="6" s="1"/>
  <c r="V73" i="6" s="1"/>
  <c r="W73" i="6" s="1"/>
  <c r="X73" i="6" s="1"/>
  <c r="G67" i="6"/>
  <c r="H67" i="6" s="1"/>
  <c r="I67" i="6" s="1"/>
  <c r="J67" i="6" s="1"/>
  <c r="K67" i="6" s="1"/>
  <c r="L67" i="6" s="1"/>
  <c r="M67" i="6" s="1"/>
  <c r="N67" i="6" s="1"/>
  <c r="O67" i="6" s="1"/>
  <c r="P67" i="6" s="1"/>
  <c r="Q67" i="6" s="1"/>
  <c r="R67" i="6" s="1"/>
  <c r="S67" i="6" s="1"/>
  <c r="T67" i="6" s="1"/>
  <c r="U67" i="6" s="1"/>
  <c r="V67" i="6" s="1"/>
  <c r="F167" i="2"/>
  <c r="I69" i="6"/>
  <c r="J69" i="6" s="1"/>
  <c r="K69" i="6" s="1"/>
  <c r="L69" i="6" s="1"/>
  <c r="M69" i="6" s="1"/>
  <c r="N69" i="6" s="1"/>
  <c r="O69" i="6" s="1"/>
  <c r="P69" i="6" s="1"/>
  <c r="Q69" i="6" s="1"/>
  <c r="R69" i="6" s="1"/>
  <c r="S69" i="6" s="1"/>
  <c r="T69" i="6" s="1"/>
  <c r="U69" i="6" s="1"/>
  <c r="V69" i="6" s="1"/>
  <c r="W69" i="6" s="1"/>
  <c r="X69" i="6" s="1"/>
  <c r="U81" i="6"/>
  <c r="V81" i="6" s="1"/>
  <c r="W81" i="6" s="1"/>
  <c r="X81" i="6" s="1"/>
  <c r="Q77" i="6"/>
  <c r="R77" i="6" s="1"/>
  <c r="S77" i="6" s="1"/>
  <c r="T77" i="6" s="1"/>
  <c r="U77" i="6" s="1"/>
  <c r="V77" i="6" s="1"/>
  <c r="W77" i="6" s="1"/>
  <c r="X77" i="6" s="1"/>
  <c r="F66" i="6"/>
  <c r="G66" i="6" s="1"/>
  <c r="H66" i="6" s="1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S66" i="6" s="1"/>
  <c r="T66" i="6" s="1"/>
  <c r="U66" i="6" s="1"/>
  <c r="J70" i="6"/>
  <c r="K70" i="6" s="1"/>
  <c r="L70" i="6" s="1"/>
  <c r="M70" i="6" s="1"/>
  <c r="N70" i="6" s="1"/>
  <c r="O70" i="6" s="1"/>
  <c r="P70" i="6" s="1"/>
  <c r="Q70" i="6" s="1"/>
  <c r="R70" i="6" s="1"/>
  <c r="S70" i="6" s="1"/>
  <c r="T70" i="6" s="1"/>
  <c r="U70" i="6" s="1"/>
  <c r="V70" i="6" s="1"/>
  <c r="W70" i="6" s="1"/>
  <c r="X70" i="6" s="1"/>
  <c r="L72" i="6"/>
  <c r="M72" i="6" s="1"/>
  <c r="N72" i="6" s="1"/>
  <c r="O72" i="6" s="1"/>
  <c r="P72" i="6" s="1"/>
  <c r="Q72" i="6" s="1"/>
  <c r="R72" i="6" s="1"/>
  <c r="S72" i="6" s="1"/>
  <c r="T72" i="6" s="1"/>
  <c r="U72" i="6" s="1"/>
  <c r="V72" i="6" s="1"/>
  <c r="W72" i="6" s="1"/>
  <c r="X72" i="6" s="1"/>
  <c r="K71" i="6"/>
  <c r="L71" i="6" s="1"/>
  <c r="M71" i="6" s="1"/>
  <c r="N71" i="6" s="1"/>
  <c r="O71" i="6" s="1"/>
  <c r="P71" i="6" s="1"/>
  <c r="Q71" i="6" s="1"/>
  <c r="R71" i="6" s="1"/>
  <c r="S71" i="6" s="1"/>
  <c r="T71" i="6" s="1"/>
  <c r="U71" i="6" s="1"/>
  <c r="V71" i="6" s="1"/>
  <c r="W71" i="6" s="1"/>
  <c r="X71" i="6" s="1"/>
  <c r="R34" i="6"/>
  <c r="R18" i="6"/>
  <c r="E20" i="1"/>
  <c r="B9" i="8"/>
  <c r="B7" i="8" s="1"/>
  <c r="C8" i="8"/>
  <c r="C10" i="8" s="1"/>
  <c r="B10" i="8"/>
  <c r="E65" i="6"/>
  <c r="M47" i="6"/>
  <c r="M135" i="2"/>
  <c r="L136" i="2" s="1"/>
  <c r="P25" i="10"/>
  <c r="M19" i="2"/>
  <c r="J26" i="6"/>
  <c r="J27" i="6" s="1"/>
  <c r="V34" i="6"/>
  <c r="V18" i="6"/>
  <c r="N18" i="6"/>
  <c r="N34" i="6"/>
  <c r="C8" i="4"/>
  <c r="C10" i="4" s="1"/>
  <c r="B9" i="4"/>
  <c r="B7" i="4" s="1"/>
  <c r="B10" i="4"/>
  <c r="C20" i="1"/>
  <c r="E64" i="10"/>
  <c r="Q87" i="2"/>
  <c r="P87" i="2"/>
  <c r="R12" i="6"/>
  <c r="N85" i="2"/>
  <c r="O84" i="2"/>
  <c r="N84" i="2"/>
  <c r="O5" i="6"/>
  <c r="O88" i="2"/>
  <c r="N89" i="2"/>
  <c r="S5" i="6"/>
  <c r="N88" i="2"/>
  <c r="F143" i="2"/>
  <c r="E144" i="2" s="1"/>
  <c r="D34" i="10" s="1"/>
  <c r="N92" i="2"/>
  <c r="O92" i="2"/>
  <c r="N93" i="2"/>
  <c r="W5" i="6"/>
  <c r="Q83" i="2"/>
  <c r="P83" i="2"/>
  <c r="N12" i="6"/>
  <c r="L8" i="6"/>
  <c r="H8" i="6"/>
  <c r="E7" i="6"/>
  <c r="F7" i="6" s="1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F20" i="1"/>
  <c r="W46" i="6"/>
  <c r="O127" i="2" l="1"/>
  <c r="I17" i="10"/>
  <c r="I18" i="10" s="1"/>
  <c r="G15" i="6"/>
  <c r="H41" i="6"/>
  <c r="I25" i="10"/>
  <c r="I33" i="10"/>
  <c r="N104" i="2"/>
  <c r="Q103" i="2" s="1"/>
  <c r="P102" i="2"/>
  <c r="P103" i="2" s="1"/>
  <c r="T100" i="2"/>
  <c r="H7" i="10"/>
  <c r="J7" i="10"/>
  <c r="F28" i="10"/>
  <c r="F17" i="10"/>
  <c r="F25" i="10"/>
  <c r="M105" i="2"/>
  <c r="K5" i="10" s="1"/>
  <c r="V5" i="10"/>
  <c r="V33" i="10" s="1"/>
  <c r="Q25" i="10"/>
  <c r="Q17" i="10"/>
  <c r="Q18" i="10" s="1"/>
  <c r="R7" i="10"/>
  <c r="Q33" i="10"/>
  <c r="Q7" i="10"/>
  <c r="S7" i="10"/>
  <c r="T7" i="10"/>
  <c r="I68" i="10"/>
  <c r="J68" i="10" s="1"/>
  <c r="K68" i="10" s="1"/>
  <c r="L68" i="10" s="1"/>
  <c r="M68" i="10" s="1"/>
  <c r="N68" i="10" s="1"/>
  <c r="O68" i="10" s="1"/>
  <c r="P68" i="10" s="1"/>
  <c r="Q68" i="10" s="1"/>
  <c r="R68" i="10" s="1"/>
  <c r="S68" i="10" s="1"/>
  <c r="T68" i="10" s="1"/>
  <c r="U68" i="10" s="1"/>
  <c r="V68" i="10" s="1"/>
  <c r="W68" i="10" s="1"/>
  <c r="X68" i="10" s="1"/>
  <c r="G28" i="10"/>
  <c r="G17" i="10"/>
  <c r="H17" i="10"/>
  <c r="G25" i="10"/>
  <c r="R77" i="10"/>
  <c r="S77" i="10" s="1"/>
  <c r="T77" i="10" s="1"/>
  <c r="U77" i="10" s="1"/>
  <c r="V77" i="10" s="1"/>
  <c r="W77" i="10" s="1"/>
  <c r="X77" i="10" s="1"/>
  <c r="M117" i="2"/>
  <c r="N117" i="2" s="1"/>
  <c r="Q116" i="2" s="1"/>
  <c r="U33" i="10"/>
  <c r="U17" i="10"/>
  <c r="T17" i="10"/>
  <c r="S33" i="10"/>
  <c r="S17" i="10"/>
  <c r="M72" i="10"/>
  <c r="N72" i="10" s="1"/>
  <c r="O72" i="10" s="1"/>
  <c r="P72" i="10" s="1"/>
  <c r="Q72" i="10" s="1"/>
  <c r="R72" i="10" s="1"/>
  <c r="S72" i="10" s="1"/>
  <c r="T72" i="10" s="1"/>
  <c r="U72" i="10" s="1"/>
  <c r="V72" i="10" s="1"/>
  <c r="W72" i="10" s="1"/>
  <c r="X72" i="10" s="1"/>
  <c r="N110" i="2"/>
  <c r="Q109" i="2" s="1"/>
  <c r="O5" i="10"/>
  <c r="N109" i="2"/>
  <c r="Q108" i="2" s="1"/>
  <c r="N33" i="10"/>
  <c r="N25" i="10"/>
  <c r="N17" i="10"/>
  <c r="J25" i="10"/>
  <c r="J33" i="10"/>
  <c r="J17" i="10"/>
  <c r="L129" i="2"/>
  <c r="N128" i="2"/>
  <c r="X46" i="6"/>
  <c r="P18" i="6"/>
  <c r="O18" i="6"/>
  <c r="O34" i="6"/>
  <c r="R14" i="6"/>
  <c r="R25" i="6"/>
  <c r="Q93" i="2"/>
  <c r="Q92" i="2"/>
  <c r="W12" i="6"/>
  <c r="P92" i="2"/>
  <c r="S34" i="6"/>
  <c r="S18" i="6"/>
  <c r="T18" i="6"/>
  <c r="N19" i="6"/>
  <c r="N74" i="6"/>
  <c r="O74" i="6" s="1"/>
  <c r="P74" i="6" s="1"/>
  <c r="Q74" i="6" s="1"/>
  <c r="R74" i="6" s="1"/>
  <c r="S74" i="6" s="1"/>
  <c r="T74" i="6" s="1"/>
  <c r="U74" i="6" s="1"/>
  <c r="V74" i="6" s="1"/>
  <c r="W74" i="6" s="1"/>
  <c r="X74" i="6" s="1"/>
  <c r="N47" i="6"/>
  <c r="M19" i="6"/>
  <c r="G19" i="6"/>
  <c r="H19" i="6"/>
  <c r="I12" i="2"/>
  <c r="U19" i="6"/>
  <c r="Q19" i="6"/>
  <c r="E19" i="6"/>
  <c r="C15" i="8"/>
  <c r="C19" i="8" s="1"/>
  <c r="C23" i="8" s="1"/>
  <c r="C25" i="8" s="1"/>
  <c r="C26" i="8" s="1"/>
  <c r="B14" i="8"/>
  <c r="B18" i="8" s="1"/>
  <c r="B23" i="8" s="1"/>
  <c r="B25" i="8" s="1"/>
  <c r="B26" i="8" s="1"/>
  <c r="C15" i="4"/>
  <c r="C19" i="4" s="1"/>
  <c r="C23" i="4" s="1"/>
  <c r="C25" i="4" s="1"/>
  <c r="C26" i="4" s="1"/>
  <c r="B14" i="4"/>
  <c r="B18" i="4" s="1"/>
  <c r="B23" i="4" s="1"/>
  <c r="B25" i="4" s="1"/>
  <c r="B26" i="4" s="1"/>
  <c r="I19" i="6"/>
  <c r="J19" i="6"/>
  <c r="F19" i="6"/>
  <c r="K19" i="6"/>
  <c r="L19" i="6"/>
  <c r="V14" i="6"/>
  <c r="V25" i="6"/>
  <c r="N25" i="6"/>
  <c r="N14" i="6"/>
  <c r="Q84" i="2"/>
  <c r="Q85" i="2"/>
  <c r="P84" i="2"/>
  <c r="O12" i="6"/>
  <c r="M137" i="2"/>
  <c r="L138" i="2" s="1"/>
  <c r="E30" i="6"/>
  <c r="E31" i="6" s="1"/>
  <c r="W34" i="6"/>
  <c r="W18" i="6"/>
  <c r="X18" i="6"/>
  <c r="X19" i="6" s="1"/>
  <c r="E29" i="10"/>
  <c r="E30" i="10" s="1"/>
  <c r="S12" i="6"/>
  <c r="P88" i="2"/>
  <c r="Q88" i="2"/>
  <c r="Q89" i="2"/>
  <c r="F64" i="10"/>
  <c r="E19" i="10"/>
  <c r="E22" i="10" s="1"/>
  <c r="V19" i="6"/>
  <c r="V82" i="6"/>
  <c r="W82" i="6" s="1"/>
  <c r="X82" i="6" s="1"/>
  <c r="K26" i="6"/>
  <c r="K27" i="6" s="1"/>
  <c r="S25" i="10"/>
  <c r="M20" i="2"/>
  <c r="R25" i="10"/>
  <c r="F65" i="6"/>
  <c r="E20" i="6"/>
  <c r="E23" i="6" s="1"/>
  <c r="R19" i="6"/>
  <c r="R78" i="6"/>
  <c r="S78" i="6" s="1"/>
  <c r="T78" i="6" s="1"/>
  <c r="U78" i="6" s="1"/>
  <c r="V78" i="6" s="1"/>
  <c r="W78" i="6" s="1"/>
  <c r="X78" i="6" s="1"/>
  <c r="O128" i="2" l="1"/>
  <c r="H15" i="6"/>
  <c r="I41" i="6"/>
  <c r="V7" i="10"/>
  <c r="V17" i="10"/>
  <c r="V18" i="10" s="1"/>
  <c r="C11" i="9"/>
  <c r="U100" i="2"/>
  <c r="R100" i="2"/>
  <c r="O101" i="2" s="1"/>
  <c r="T101" i="2" s="1"/>
  <c r="N105" i="2"/>
  <c r="Q104" i="2" s="1"/>
  <c r="N106" i="2"/>
  <c r="Q105" i="2" s="1"/>
  <c r="F18" i="10"/>
  <c r="F65" i="10"/>
  <c r="G65" i="10" s="1"/>
  <c r="H65" i="10" s="1"/>
  <c r="I65" i="10" s="1"/>
  <c r="J65" i="10" s="1"/>
  <c r="K65" i="10" s="1"/>
  <c r="L65" i="10" s="1"/>
  <c r="M65" i="10" s="1"/>
  <c r="N65" i="10" s="1"/>
  <c r="O65" i="10" s="1"/>
  <c r="P65" i="10" s="1"/>
  <c r="Q65" i="10" s="1"/>
  <c r="R65" i="10" s="1"/>
  <c r="S65" i="10" s="1"/>
  <c r="T65" i="10" s="1"/>
  <c r="U65" i="10" s="1"/>
  <c r="W5" i="10"/>
  <c r="X7" i="10" s="1"/>
  <c r="Q76" i="10"/>
  <c r="R76" i="10" s="1"/>
  <c r="S76" i="10" s="1"/>
  <c r="T76" i="10" s="1"/>
  <c r="U76" i="10" s="1"/>
  <c r="V76" i="10" s="1"/>
  <c r="W76" i="10" s="1"/>
  <c r="X76" i="10" s="1"/>
  <c r="N118" i="2"/>
  <c r="Q117" i="2" s="1"/>
  <c r="F11" i="9"/>
  <c r="O7" i="10"/>
  <c r="P7" i="10"/>
  <c r="K7" i="10"/>
  <c r="L7" i="10"/>
  <c r="H18" i="10"/>
  <c r="H67" i="10"/>
  <c r="I67" i="10" s="1"/>
  <c r="J67" i="10" s="1"/>
  <c r="K67" i="10" s="1"/>
  <c r="L67" i="10" s="1"/>
  <c r="M67" i="10" s="1"/>
  <c r="N67" i="10" s="1"/>
  <c r="O67" i="10" s="1"/>
  <c r="P67" i="10" s="1"/>
  <c r="Q67" i="10" s="1"/>
  <c r="R67" i="10" s="1"/>
  <c r="S67" i="10" s="1"/>
  <c r="T67" i="10" s="1"/>
  <c r="U67" i="10" s="1"/>
  <c r="V67" i="10" s="1"/>
  <c r="W67" i="10" s="1"/>
  <c r="G18" i="10"/>
  <c r="G66" i="10"/>
  <c r="H66" i="10" s="1"/>
  <c r="I66" i="10" s="1"/>
  <c r="J66" i="10" s="1"/>
  <c r="K66" i="10" s="1"/>
  <c r="L66" i="10" s="1"/>
  <c r="M66" i="10" s="1"/>
  <c r="N66" i="10" s="1"/>
  <c r="O66" i="10" s="1"/>
  <c r="P66" i="10" s="1"/>
  <c r="Q66" i="10" s="1"/>
  <c r="R66" i="10" s="1"/>
  <c r="S66" i="10" s="1"/>
  <c r="T66" i="10" s="1"/>
  <c r="U66" i="10" s="1"/>
  <c r="V66" i="10" s="1"/>
  <c r="U18" i="10"/>
  <c r="U80" i="10"/>
  <c r="V80" i="10" s="1"/>
  <c r="W80" i="10" s="1"/>
  <c r="X80" i="10" s="1"/>
  <c r="S18" i="10"/>
  <c r="S78" i="10"/>
  <c r="T78" i="10" s="1"/>
  <c r="U78" i="10" s="1"/>
  <c r="V78" i="10" s="1"/>
  <c r="W78" i="10" s="1"/>
  <c r="X78" i="10" s="1"/>
  <c r="F29" i="10"/>
  <c r="T18" i="10"/>
  <c r="T79" i="10"/>
  <c r="U79" i="10" s="1"/>
  <c r="V79" i="10" s="1"/>
  <c r="W79" i="10" s="1"/>
  <c r="X79" i="10" s="1"/>
  <c r="J18" i="10"/>
  <c r="J69" i="10"/>
  <c r="K69" i="10" s="1"/>
  <c r="L69" i="10" s="1"/>
  <c r="M69" i="10" s="1"/>
  <c r="N69" i="10" s="1"/>
  <c r="O69" i="10" s="1"/>
  <c r="P69" i="10" s="1"/>
  <c r="Q69" i="10" s="1"/>
  <c r="R69" i="10" s="1"/>
  <c r="S69" i="10" s="1"/>
  <c r="T69" i="10" s="1"/>
  <c r="U69" i="10" s="1"/>
  <c r="P17" i="10"/>
  <c r="O33" i="10"/>
  <c r="O17" i="10"/>
  <c r="O25" i="10"/>
  <c r="K25" i="10"/>
  <c r="K33" i="10"/>
  <c r="K17" i="10"/>
  <c r="L17" i="10"/>
  <c r="N18" i="10"/>
  <c r="N73" i="10"/>
  <c r="O73" i="10" s="1"/>
  <c r="P73" i="10" s="1"/>
  <c r="Q73" i="10" s="1"/>
  <c r="R73" i="10" s="1"/>
  <c r="S73" i="10" s="1"/>
  <c r="T73" i="10" s="1"/>
  <c r="U73" i="10" s="1"/>
  <c r="V73" i="10" s="1"/>
  <c r="W73" i="10" s="1"/>
  <c r="X73" i="10" s="1"/>
  <c r="F20" i="6"/>
  <c r="F23" i="6" s="1"/>
  <c r="G65" i="6"/>
  <c r="W19" i="6"/>
  <c r="W83" i="6"/>
  <c r="X83" i="6" s="1"/>
  <c r="O25" i="6"/>
  <c r="P14" i="6"/>
  <c r="P52" i="6" s="1"/>
  <c r="Q52" i="6" s="1"/>
  <c r="R52" i="6" s="1"/>
  <c r="S52" i="6" s="1"/>
  <c r="T52" i="6" s="1"/>
  <c r="U52" i="6" s="1"/>
  <c r="V52" i="6" s="1"/>
  <c r="W52" i="6" s="1"/>
  <c r="X52" i="6" s="1"/>
  <c r="O14" i="6"/>
  <c r="O51" i="6" s="1"/>
  <c r="P51" i="6" s="1"/>
  <c r="Q51" i="6" s="1"/>
  <c r="R51" i="6" s="1"/>
  <c r="S51" i="6" s="1"/>
  <c r="T51" i="6" s="1"/>
  <c r="U51" i="6" s="1"/>
  <c r="V51" i="6" s="1"/>
  <c r="W51" i="6" s="1"/>
  <c r="X51" i="6" s="1"/>
  <c r="N50" i="6"/>
  <c r="O50" i="6" s="1"/>
  <c r="P50" i="6" s="1"/>
  <c r="Q50" i="6" s="1"/>
  <c r="R50" i="6" s="1"/>
  <c r="S50" i="6" s="1"/>
  <c r="T50" i="6" s="1"/>
  <c r="U50" i="6" s="1"/>
  <c r="V50" i="6" s="1"/>
  <c r="W50" i="6" s="1"/>
  <c r="X50" i="6" s="1"/>
  <c r="D13" i="1"/>
  <c r="G64" i="10"/>
  <c r="T14" i="6"/>
  <c r="T56" i="6" s="1"/>
  <c r="U56" i="6" s="1"/>
  <c r="V56" i="6" s="1"/>
  <c r="W56" i="6" s="1"/>
  <c r="X56" i="6" s="1"/>
  <c r="S25" i="6"/>
  <c r="S14" i="6"/>
  <c r="S55" i="6" s="1"/>
  <c r="T55" i="6" s="1"/>
  <c r="U55" i="6" s="1"/>
  <c r="V55" i="6" s="1"/>
  <c r="W55" i="6" s="1"/>
  <c r="X55" i="6" s="1"/>
  <c r="E35" i="10"/>
  <c r="M139" i="2"/>
  <c r="L140" i="2" s="1"/>
  <c r="C13" i="1"/>
  <c r="O47" i="6"/>
  <c r="F30" i="6"/>
  <c r="T19" i="6"/>
  <c r="T80" i="6"/>
  <c r="U80" i="6" s="1"/>
  <c r="V80" i="6" s="1"/>
  <c r="W80" i="6" s="1"/>
  <c r="X80" i="6" s="1"/>
  <c r="W14" i="6"/>
  <c r="W59" i="6" s="1"/>
  <c r="X59" i="6" s="1"/>
  <c r="X14" i="6"/>
  <c r="W25" i="6"/>
  <c r="O75" i="6"/>
  <c r="P75" i="6" s="1"/>
  <c r="Q75" i="6" s="1"/>
  <c r="R75" i="6" s="1"/>
  <c r="S75" i="6" s="1"/>
  <c r="T75" i="6" s="1"/>
  <c r="U75" i="6" s="1"/>
  <c r="V75" i="6" s="1"/>
  <c r="O19" i="6"/>
  <c r="E13" i="1" s="1"/>
  <c r="T25" i="10"/>
  <c r="M21" i="2"/>
  <c r="L26" i="6"/>
  <c r="L27" i="6" s="1"/>
  <c r="D17" i="1" s="1"/>
  <c r="P104" i="2"/>
  <c r="E36" i="6"/>
  <c r="V58" i="6"/>
  <c r="W58" i="6" s="1"/>
  <c r="X58" i="6" s="1"/>
  <c r="G13" i="1"/>
  <c r="S79" i="6"/>
  <c r="T79" i="6" s="1"/>
  <c r="U79" i="6" s="1"/>
  <c r="V79" i="6" s="1"/>
  <c r="W79" i="6" s="1"/>
  <c r="X79" i="6" s="1"/>
  <c r="S19" i="6"/>
  <c r="F13" i="1" s="1"/>
  <c r="R54" i="6"/>
  <c r="S54" i="6" s="1"/>
  <c r="T54" i="6" s="1"/>
  <c r="U54" i="6" s="1"/>
  <c r="V54" i="6" s="1"/>
  <c r="W54" i="6" s="1"/>
  <c r="X54" i="6" s="1"/>
  <c r="F12" i="1"/>
  <c r="P76" i="6"/>
  <c r="Q76" i="6" s="1"/>
  <c r="R76" i="6" s="1"/>
  <c r="S76" i="6" s="1"/>
  <c r="T76" i="6" s="1"/>
  <c r="U76" i="6" s="1"/>
  <c r="V76" i="6" s="1"/>
  <c r="W76" i="6" s="1"/>
  <c r="X76" i="6" s="1"/>
  <c r="P19" i="6"/>
  <c r="N129" i="2"/>
  <c r="O129" i="2" s="1"/>
  <c r="V81" i="10" l="1"/>
  <c r="W81" i="10" s="1"/>
  <c r="X81" i="10" s="1"/>
  <c r="G12" i="1"/>
  <c r="I15" i="6"/>
  <c r="J41" i="6"/>
  <c r="U101" i="2"/>
  <c r="F12" i="10"/>
  <c r="F24" i="10" s="1"/>
  <c r="F26" i="10" s="1"/>
  <c r="V100" i="2"/>
  <c r="W100" i="2" s="1"/>
  <c r="F13" i="10" s="1"/>
  <c r="F41" i="10" s="1"/>
  <c r="G41" i="10" s="1"/>
  <c r="S100" i="2"/>
  <c r="R101" i="2"/>
  <c r="O102" i="2" s="1"/>
  <c r="T102" i="2" s="1"/>
  <c r="U102" i="2" s="1"/>
  <c r="H12" i="10" s="1"/>
  <c r="H24" i="10" s="1"/>
  <c r="H26" i="10" s="1"/>
  <c r="F19" i="10"/>
  <c r="W17" i="10"/>
  <c r="W82" i="10" s="1"/>
  <c r="X82" i="10" s="1"/>
  <c r="W7" i="10"/>
  <c r="G11" i="9" s="1"/>
  <c r="W33" i="10"/>
  <c r="X17" i="10"/>
  <c r="X18" i="10" s="1"/>
  <c r="D11" i="9"/>
  <c r="E11" i="9"/>
  <c r="C15" i="9"/>
  <c r="F30" i="10"/>
  <c r="F35" i="10" s="1"/>
  <c r="G29" i="10"/>
  <c r="F15" i="9"/>
  <c r="L18" i="10"/>
  <c r="L71" i="10"/>
  <c r="M71" i="10" s="1"/>
  <c r="N71" i="10" s="1"/>
  <c r="O71" i="10" s="1"/>
  <c r="P71" i="10" s="1"/>
  <c r="Q71" i="10" s="1"/>
  <c r="R71" i="10" s="1"/>
  <c r="S71" i="10" s="1"/>
  <c r="T71" i="10" s="1"/>
  <c r="U71" i="10" s="1"/>
  <c r="V71" i="10" s="1"/>
  <c r="W71" i="10" s="1"/>
  <c r="X71" i="10" s="1"/>
  <c r="P18" i="10"/>
  <c r="P75" i="10"/>
  <c r="Q75" i="10" s="1"/>
  <c r="R75" i="10" s="1"/>
  <c r="S75" i="10" s="1"/>
  <c r="T75" i="10" s="1"/>
  <c r="U75" i="10" s="1"/>
  <c r="V75" i="10" s="1"/>
  <c r="W75" i="10" s="1"/>
  <c r="X75" i="10" s="1"/>
  <c r="K18" i="10"/>
  <c r="K70" i="10"/>
  <c r="L70" i="10" s="1"/>
  <c r="M70" i="10" s="1"/>
  <c r="N70" i="10" s="1"/>
  <c r="O70" i="10" s="1"/>
  <c r="P70" i="10" s="1"/>
  <c r="Q70" i="10" s="1"/>
  <c r="R70" i="10" s="1"/>
  <c r="S70" i="10" s="1"/>
  <c r="T70" i="10" s="1"/>
  <c r="U70" i="10" s="1"/>
  <c r="V70" i="10" s="1"/>
  <c r="W70" i="10" s="1"/>
  <c r="X70" i="10" s="1"/>
  <c r="V69" i="10"/>
  <c r="O18" i="10"/>
  <c r="O74" i="10"/>
  <c r="P74" i="10" s="1"/>
  <c r="Q74" i="10" s="1"/>
  <c r="R74" i="10" s="1"/>
  <c r="S74" i="10" s="1"/>
  <c r="T74" i="10" s="1"/>
  <c r="U74" i="10" s="1"/>
  <c r="V74" i="10" s="1"/>
  <c r="W74" i="10" s="1"/>
  <c r="X74" i="10" s="1"/>
  <c r="U25" i="10"/>
  <c r="V25" i="10"/>
  <c r="M22" i="2"/>
  <c r="W25" i="10"/>
  <c r="U20" i="6"/>
  <c r="X60" i="6"/>
  <c r="X84" i="6"/>
  <c r="H65" i="6"/>
  <c r="G20" i="6"/>
  <c r="G23" i="6" s="1"/>
  <c r="M141" i="2"/>
  <c r="L142" i="2" s="1"/>
  <c r="G19" i="10"/>
  <c r="H64" i="10"/>
  <c r="P105" i="2"/>
  <c r="F31" i="6"/>
  <c r="G30" i="6"/>
  <c r="W75" i="6"/>
  <c r="V20" i="6"/>
  <c r="L131" i="2"/>
  <c r="N130" i="2"/>
  <c r="O130" i="2" s="1"/>
  <c r="P47" i="6"/>
  <c r="E12" i="1"/>
  <c r="K41" i="6" l="1"/>
  <c r="J15" i="6"/>
  <c r="F14" i="10"/>
  <c r="F22" i="10" s="1"/>
  <c r="G12" i="10"/>
  <c r="G24" i="10" s="1"/>
  <c r="G26" i="10" s="1"/>
  <c r="C20" i="9" s="1"/>
  <c r="V101" i="2"/>
  <c r="W101" i="2" s="1"/>
  <c r="G13" i="10" s="1"/>
  <c r="G42" i="10" s="1"/>
  <c r="H42" i="10" s="1"/>
  <c r="I42" i="10" s="1"/>
  <c r="J42" i="10" s="1"/>
  <c r="S101" i="2"/>
  <c r="W18" i="10"/>
  <c r="G15" i="9" s="1"/>
  <c r="S102" i="2"/>
  <c r="V102" i="2"/>
  <c r="W102" i="2" s="1"/>
  <c r="H13" i="10" s="1"/>
  <c r="H43" i="10" s="1"/>
  <c r="R102" i="2"/>
  <c r="O103" i="2" s="1"/>
  <c r="T103" i="2" s="1"/>
  <c r="E15" i="9"/>
  <c r="G30" i="10"/>
  <c r="G35" i="10" s="1"/>
  <c r="H29" i="10"/>
  <c r="W69" i="10"/>
  <c r="V19" i="10"/>
  <c r="U19" i="10"/>
  <c r="D15" i="9"/>
  <c r="X75" i="6"/>
  <c r="X20" i="6" s="1"/>
  <c r="W20" i="6"/>
  <c r="H20" i="9"/>
  <c r="P106" i="2"/>
  <c r="G31" i="6"/>
  <c r="G36" i="6" s="1"/>
  <c r="H30" i="6"/>
  <c r="M132" i="2"/>
  <c r="N131" i="2"/>
  <c r="O131" i="2" s="1"/>
  <c r="F36" i="6"/>
  <c r="M143" i="2"/>
  <c r="L144" i="2" s="1"/>
  <c r="I65" i="6"/>
  <c r="H20" i="6"/>
  <c r="Q47" i="6"/>
  <c r="I64" i="10"/>
  <c r="H19" i="10"/>
  <c r="D20" i="10" s="1"/>
  <c r="X25" i="10"/>
  <c r="M23" i="2"/>
  <c r="L41" i="6" l="1"/>
  <c r="K15" i="6"/>
  <c r="G14" i="10"/>
  <c r="G22" i="10" s="1"/>
  <c r="C14" i="9"/>
  <c r="U103" i="2"/>
  <c r="R103" i="2"/>
  <c r="O104" i="2" s="1"/>
  <c r="T104" i="2" s="1"/>
  <c r="I34" i="10"/>
  <c r="D31" i="10"/>
  <c r="H21" i="9" s="1"/>
  <c r="H23" i="9" s="1"/>
  <c r="H25" i="9" s="1"/>
  <c r="H26" i="9" s="1"/>
  <c r="H30" i="10"/>
  <c r="X69" i="10"/>
  <c r="W19" i="10"/>
  <c r="R47" i="6"/>
  <c r="I43" i="10"/>
  <c r="H14" i="10"/>
  <c r="H22" i="10" s="1"/>
  <c r="J64" i="10"/>
  <c r="I19" i="10"/>
  <c r="M145" i="2"/>
  <c r="L146" i="2" s="1"/>
  <c r="L133" i="2"/>
  <c r="N132" i="2"/>
  <c r="O132" i="2" s="1"/>
  <c r="H31" i="6"/>
  <c r="D32" i="6"/>
  <c r="H18" i="1" s="1"/>
  <c r="H22" i="1" s="1"/>
  <c r="H24" i="1" s="1"/>
  <c r="H25" i="1" s="1"/>
  <c r="I35" i="6"/>
  <c r="M24" i="2"/>
  <c r="M25" i="2" s="1"/>
  <c r="M26" i="2" s="1"/>
  <c r="M26" i="6"/>
  <c r="M27" i="6" s="1"/>
  <c r="D21" i="6"/>
  <c r="H23" i="6"/>
  <c r="C16" i="1" s="1"/>
  <c r="P107" i="2"/>
  <c r="I20" i="6"/>
  <c r="I23" i="6" s="1"/>
  <c r="J65" i="6"/>
  <c r="K42" i="10"/>
  <c r="M41" i="6" l="1"/>
  <c r="L15" i="6"/>
  <c r="S103" i="2"/>
  <c r="V103" i="2"/>
  <c r="W103" i="2" s="1"/>
  <c r="I13" i="10" s="1"/>
  <c r="I44" i="10" s="1"/>
  <c r="J44" i="10" s="1"/>
  <c r="K44" i="10" s="1"/>
  <c r="L44" i="10" s="1"/>
  <c r="M44" i="10" s="1"/>
  <c r="N44" i="10" s="1"/>
  <c r="O44" i="10" s="1"/>
  <c r="P44" i="10" s="1"/>
  <c r="Q44" i="10" s="1"/>
  <c r="R44" i="10" s="1"/>
  <c r="S44" i="10" s="1"/>
  <c r="T44" i="10" s="1"/>
  <c r="U44" i="10" s="1"/>
  <c r="V44" i="10" s="1"/>
  <c r="W44" i="10" s="1"/>
  <c r="X44" i="10" s="1"/>
  <c r="R104" i="2"/>
  <c r="O105" i="2" s="1"/>
  <c r="T105" i="2" s="1"/>
  <c r="I12" i="10"/>
  <c r="I24" i="10" s="1"/>
  <c r="I26" i="10" s="1"/>
  <c r="U104" i="2"/>
  <c r="C19" i="9"/>
  <c r="H35" i="10"/>
  <c r="C21" i="9" s="1"/>
  <c r="D30" i="10"/>
  <c r="I35" i="10"/>
  <c r="J34" i="10"/>
  <c r="K65" i="6"/>
  <c r="J20" i="6"/>
  <c r="J23" i="6" s="1"/>
  <c r="M27" i="2"/>
  <c r="M28" i="2" s="1"/>
  <c r="M29" i="2" s="1"/>
  <c r="N26" i="6"/>
  <c r="N27" i="6" s="1"/>
  <c r="H36" i="6"/>
  <c r="C18" i="1" s="1"/>
  <c r="C22" i="1" s="1"/>
  <c r="C24" i="1" s="1"/>
  <c r="C25" i="1" s="1"/>
  <c r="D31" i="6"/>
  <c r="J43" i="10"/>
  <c r="L42" i="10"/>
  <c r="P108" i="2"/>
  <c r="I36" i="6"/>
  <c r="J35" i="6"/>
  <c r="M134" i="2"/>
  <c r="N133" i="2"/>
  <c r="O133" i="2" s="1"/>
  <c r="J19" i="10"/>
  <c r="K64" i="10"/>
  <c r="S47" i="6"/>
  <c r="M147" i="2"/>
  <c r="L148" i="2" s="1"/>
  <c r="N41" i="6" l="1"/>
  <c r="M15" i="6"/>
  <c r="C23" i="9"/>
  <c r="C25" i="9" s="1"/>
  <c r="C26" i="9" s="1"/>
  <c r="I14" i="10"/>
  <c r="I22" i="10" s="1"/>
  <c r="V104" i="2"/>
  <c r="W104" i="2" s="1"/>
  <c r="J13" i="10" s="1"/>
  <c r="J45" i="10" s="1"/>
  <c r="K45" i="10" s="1"/>
  <c r="L45" i="10" s="1"/>
  <c r="M45" i="10" s="1"/>
  <c r="N45" i="10" s="1"/>
  <c r="O45" i="10" s="1"/>
  <c r="P45" i="10" s="1"/>
  <c r="Q45" i="10" s="1"/>
  <c r="R45" i="10" s="1"/>
  <c r="S45" i="10" s="1"/>
  <c r="T45" i="10" s="1"/>
  <c r="U45" i="10" s="1"/>
  <c r="V45" i="10" s="1"/>
  <c r="W45" i="10" s="1"/>
  <c r="X45" i="10" s="1"/>
  <c r="U105" i="2"/>
  <c r="S104" i="2"/>
  <c r="R105" i="2"/>
  <c r="O106" i="2" s="1"/>
  <c r="T106" i="2" s="1"/>
  <c r="J12" i="10"/>
  <c r="J24" i="10" s="1"/>
  <c r="J26" i="10" s="1"/>
  <c r="J35" i="10"/>
  <c r="K34" i="10"/>
  <c r="J36" i="6"/>
  <c r="K35" i="6"/>
  <c r="P109" i="2"/>
  <c r="M42" i="10"/>
  <c r="L65" i="6"/>
  <c r="K20" i="6"/>
  <c r="K23" i="6" s="1"/>
  <c r="T47" i="6"/>
  <c r="L135" i="2"/>
  <c r="N134" i="2"/>
  <c r="O134" i="2" s="1"/>
  <c r="M149" i="2"/>
  <c r="L150" i="2" s="1"/>
  <c r="L64" i="10"/>
  <c r="K19" i="10"/>
  <c r="K43" i="10"/>
  <c r="M30" i="2"/>
  <c r="M31" i="2" s="1"/>
  <c r="M32" i="2" s="1"/>
  <c r="O26" i="6"/>
  <c r="O27" i="6" s="1"/>
  <c r="O41" i="6" l="1"/>
  <c r="N15" i="6"/>
  <c r="J14" i="10"/>
  <c r="J22" i="10" s="1"/>
  <c r="K12" i="10"/>
  <c r="K24" i="10" s="1"/>
  <c r="K26" i="10" s="1"/>
  <c r="R106" i="2"/>
  <c r="O107" i="2" s="1"/>
  <c r="T107" i="2" s="1"/>
  <c r="S105" i="2"/>
  <c r="U106" i="2"/>
  <c r="V105" i="2"/>
  <c r="W105" i="2" s="1"/>
  <c r="K13" i="10" s="1"/>
  <c r="K46" i="10" s="1"/>
  <c r="L46" i="10" s="1"/>
  <c r="M46" i="10" s="1"/>
  <c r="N46" i="10" s="1"/>
  <c r="O46" i="10" s="1"/>
  <c r="P46" i="10" s="1"/>
  <c r="Q46" i="10" s="1"/>
  <c r="R46" i="10" s="1"/>
  <c r="S46" i="10" s="1"/>
  <c r="T46" i="10" s="1"/>
  <c r="U46" i="10" s="1"/>
  <c r="V46" i="10" s="1"/>
  <c r="W46" i="10" s="1"/>
  <c r="X46" i="10" s="1"/>
  <c r="K35" i="10"/>
  <c r="L34" i="10"/>
  <c r="L43" i="10"/>
  <c r="M151" i="2"/>
  <c r="L152" i="2" s="1"/>
  <c r="M33" i="2"/>
  <c r="P26" i="6"/>
  <c r="P27" i="6" s="1"/>
  <c r="E17" i="1" s="1"/>
  <c r="M64" i="10"/>
  <c r="L19" i="10"/>
  <c r="N135" i="2"/>
  <c r="O135" i="2" s="1"/>
  <c r="M136" i="2"/>
  <c r="P110" i="2"/>
  <c r="U47" i="6"/>
  <c r="M65" i="6"/>
  <c r="L20" i="6"/>
  <c r="L23" i="6" s="1"/>
  <c r="D16" i="1" s="1"/>
  <c r="N42" i="10"/>
  <c r="K36" i="6"/>
  <c r="L35" i="6"/>
  <c r="P41" i="6" l="1"/>
  <c r="O15" i="6"/>
  <c r="K14" i="10"/>
  <c r="K22" i="10" s="1"/>
  <c r="V106" i="2"/>
  <c r="W106" i="2" s="1"/>
  <c r="L13" i="10" s="1"/>
  <c r="U107" i="2"/>
  <c r="L12" i="10"/>
  <c r="L24" i="10" s="1"/>
  <c r="L26" i="10" s="1"/>
  <c r="D20" i="9" s="1"/>
  <c r="R107" i="2"/>
  <c r="O108" i="2" s="1"/>
  <c r="T108" i="2" s="1"/>
  <c r="S106" i="2"/>
  <c r="L35" i="10"/>
  <c r="D21" i="9" s="1"/>
  <c r="M34" i="10"/>
  <c r="L36" i="6"/>
  <c r="D18" i="1" s="1"/>
  <c r="D22" i="1" s="1"/>
  <c r="D24" i="1" s="1"/>
  <c r="D25" i="1" s="1"/>
  <c r="M35" i="6"/>
  <c r="M20" i="6"/>
  <c r="M23" i="6" s="1"/>
  <c r="N65" i="6"/>
  <c r="M34" i="2"/>
  <c r="M35" i="2" s="1"/>
  <c r="Q26" i="6"/>
  <c r="Q27" i="6" s="1"/>
  <c r="P111" i="2"/>
  <c r="O42" i="10"/>
  <c r="V47" i="6"/>
  <c r="U15" i="6"/>
  <c r="U23" i="6" s="1"/>
  <c r="L137" i="2"/>
  <c r="N136" i="2"/>
  <c r="O136" i="2" s="1"/>
  <c r="M19" i="10"/>
  <c r="N64" i="10"/>
  <c r="M43" i="10"/>
  <c r="M153" i="2"/>
  <c r="L154" i="2" s="1"/>
  <c r="Q41" i="6" l="1"/>
  <c r="P15" i="6"/>
  <c r="V107" i="2"/>
  <c r="W107" i="2" s="1"/>
  <c r="M13" i="10" s="1"/>
  <c r="M48" i="10" s="1"/>
  <c r="N48" i="10" s="1"/>
  <c r="O48" i="10" s="1"/>
  <c r="P48" i="10" s="1"/>
  <c r="Q48" i="10" s="1"/>
  <c r="R48" i="10" s="1"/>
  <c r="S48" i="10" s="1"/>
  <c r="T48" i="10" s="1"/>
  <c r="U48" i="10" s="1"/>
  <c r="V48" i="10" s="1"/>
  <c r="W48" i="10" s="1"/>
  <c r="X48" i="10" s="1"/>
  <c r="R108" i="2"/>
  <c r="O109" i="2" s="1"/>
  <c r="T109" i="2" s="1"/>
  <c r="S107" i="2"/>
  <c r="M12" i="10"/>
  <c r="M24" i="10" s="1"/>
  <c r="M26" i="10" s="1"/>
  <c r="U108" i="2"/>
  <c r="L47" i="10"/>
  <c r="D14" i="9"/>
  <c r="N34" i="10"/>
  <c r="M35" i="10"/>
  <c r="W47" i="6"/>
  <c r="V15" i="6"/>
  <c r="V23" i="6" s="1"/>
  <c r="P112" i="2"/>
  <c r="O65" i="6"/>
  <c r="N20" i="6"/>
  <c r="N23" i="6" s="1"/>
  <c r="N43" i="10"/>
  <c r="P42" i="10"/>
  <c r="M155" i="2"/>
  <c r="L156" i="2" s="1"/>
  <c r="M138" i="2"/>
  <c r="N137" i="2"/>
  <c r="O137" i="2" s="1"/>
  <c r="O64" i="10"/>
  <c r="N19" i="10"/>
  <c r="M36" i="2"/>
  <c r="M37" i="2" s="1"/>
  <c r="R26" i="6"/>
  <c r="R27" i="6" s="1"/>
  <c r="M36" i="6"/>
  <c r="N35" i="6"/>
  <c r="R41" i="6" l="1"/>
  <c r="Q15" i="6"/>
  <c r="M47" i="10"/>
  <c r="L14" i="10"/>
  <c r="L22" i="10" s="1"/>
  <c r="D19" i="9" s="1"/>
  <c r="D23" i="9" s="1"/>
  <c r="D25" i="9" s="1"/>
  <c r="D26" i="9" s="1"/>
  <c r="N12" i="10"/>
  <c r="N24" i="10" s="1"/>
  <c r="N26" i="10" s="1"/>
  <c r="S108" i="2"/>
  <c r="V108" i="2"/>
  <c r="W108" i="2" s="1"/>
  <c r="N13" i="10" s="1"/>
  <c r="N49" i="10" s="1"/>
  <c r="O49" i="10" s="1"/>
  <c r="P49" i="10" s="1"/>
  <c r="Q49" i="10" s="1"/>
  <c r="R49" i="10" s="1"/>
  <c r="S49" i="10" s="1"/>
  <c r="T49" i="10" s="1"/>
  <c r="U49" i="10" s="1"/>
  <c r="V49" i="10" s="1"/>
  <c r="W49" i="10" s="1"/>
  <c r="X49" i="10" s="1"/>
  <c r="R109" i="2"/>
  <c r="O110" i="2" s="1"/>
  <c r="T110" i="2" s="1"/>
  <c r="U109" i="2"/>
  <c r="O34" i="10"/>
  <c r="N35" i="10"/>
  <c r="P64" i="10"/>
  <c r="O19" i="10"/>
  <c r="Q42" i="10"/>
  <c r="O20" i="6"/>
  <c r="O23" i="6" s="1"/>
  <c r="P65" i="6"/>
  <c r="X47" i="6"/>
  <c r="X15" i="6" s="1"/>
  <c r="X23" i="6" s="1"/>
  <c r="W15" i="6"/>
  <c r="W23" i="6" s="1"/>
  <c r="G16" i="1" s="1"/>
  <c r="M38" i="2"/>
  <c r="M39" i="2" s="1"/>
  <c r="S26" i="6"/>
  <c r="S27" i="6" s="1"/>
  <c r="L139" i="2"/>
  <c r="N138" i="2"/>
  <c r="O138" i="2" s="1"/>
  <c r="O35" i="6"/>
  <c r="N36" i="6"/>
  <c r="M157" i="2"/>
  <c r="L158" i="2" s="1"/>
  <c r="O43" i="10"/>
  <c r="P113" i="2"/>
  <c r="S41" i="6" l="1"/>
  <c r="R15" i="6"/>
  <c r="V109" i="2"/>
  <c r="W109" i="2" s="1"/>
  <c r="O13" i="10" s="1"/>
  <c r="O50" i="10" s="1"/>
  <c r="P50" i="10" s="1"/>
  <c r="Q50" i="10" s="1"/>
  <c r="R50" i="10" s="1"/>
  <c r="S50" i="10" s="1"/>
  <c r="T50" i="10" s="1"/>
  <c r="U50" i="10" s="1"/>
  <c r="V50" i="10" s="1"/>
  <c r="W50" i="10" s="1"/>
  <c r="X50" i="10" s="1"/>
  <c r="R110" i="2"/>
  <c r="O111" i="2" s="1"/>
  <c r="T111" i="2" s="1"/>
  <c r="U110" i="2"/>
  <c r="O12" i="10"/>
  <c r="O24" i="10" s="1"/>
  <c r="O26" i="10" s="1"/>
  <c r="S109" i="2"/>
  <c r="N47" i="10"/>
  <c r="M14" i="10"/>
  <c r="M22" i="10" s="1"/>
  <c r="P34" i="10"/>
  <c r="O35" i="10"/>
  <c r="N139" i="2"/>
  <c r="O139" i="2" s="1"/>
  <c r="M140" i="2"/>
  <c r="P19" i="10"/>
  <c r="Q64" i="10"/>
  <c r="M159" i="2"/>
  <c r="L160" i="2" s="1"/>
  <c r="P43" i="10"/>
  <c r="P35" i="6"/>
  <c r="O36" i="6"/>
  <c r="P114" i="2"/>
  <c r="T26" i="6"/>
  <c r="T27" i="6" s="1"/>
  <c r="F17" i="1" s="1"/>
  <c r="M40" i="2"/>
  <c r="M41" i="2" s="1"/>
  <c r="Q65" i="6"/>
  <c r="P20" i="6"/>
  <c r="P23" i="6" s="1"/>
  <c r="E16" i="1" s="1"/>
  <c r="R42" i="10"/>
  <c r="T41" i="6" l="1"/>
  <c r="T15" i="6" s="1"/>
  <c r="S15" i="6"/>
  <c r="S110" i="2"/>
  <c r="U111" i="2"/>
  <c r="P12" i="10"/>
  <c r="P24" i="10" s="1"/>
  <c r="P26" i="10" s="1"/>
  <c r="E20" i="9" s="1"/>
  <c r="V110" i="2"/>
  <c r="W110" i="2" s="1"/>
  <c r="P13" i="10" s="1"/>
  <c r="R111" i="2"/>
  <c r="O112" i="2" s="1"/>
  <c r="T112" i="2" s="1"/>
  <c r="O47" i="10"/>
  <c r="N14" i="10"/>
  <c r="N22" i="10" s="1"/>
  <c r="Q34" i="10"/>
  <c r="P35" i="10"/>
  <c r="E21" i="9" s="1"/>
  <c r="M42" i="2"/>
  <c r="M43" i="2" s="1"/>
  <c r="M44" i="2" s="1"/>
  <c r="U26" i="6"/>
  <c r="U27" i="6" s="1"/>
  <c r="L141" i="2"/>
  <c r="N140" i="2"/>
  <c r="O140" i="2" s="1"/>
  <c r="S42" i="10"/>
  <c r="P36" i="6"/>
  <c r="E18" i="1" s="1"/>
  <c r="E22" i="1" s="1"/>
  <c r="E24" i="1" s="1"/>
  <c r="E25" i="1" s="1"/>
  <c r="Q35" i="6"/>
  <c r="R64" i="10"/>
  <c r="Q19" i="10"/>
  <c r="R65" i="6"/>
  <c r="Q20" i="6"/>
  <c r="Q23" i="6" s="1"/>
  <c r="P115" i="2"/>
  <c r="Q43" i="10"/>
  <c r="M161" i="2"/>
  <c r="L162" i="2" s="1"/>
  <c r="P51" i="10" l="1"/>
  <c r="Q51" i="10" s="1"/>
  <c r="R51" i="10" s="1"/>
  <c r="S51" i="10" s="1"/>
  <c r="T51" i="10" s="1"/>
  <c r="U51" i="10" s="1"/>
  <c r="V51" i="10" s="1"/>
  <c r="W51" i="10" s="1"/>
  <c r="X51" i="10" s="1"/>
  <c r="E14" i="9"/>
  <c r="P47" i="10"/>
  <c r="O14" i="10"/>
  <c r="O22" i="10" s="1"/>
  <c r="U112" i="2"/>
  <c r="R112" i="2"/>
  <c r="O113" i="2" s="1"/>
  <c r="T113" i="2" s="1"/>
  <c r="S111" i="2"/>
  <c r="V111" i="2"/>
  <c r="W111" i="2" s="1"/>
  <c r="Q13" i="10" s="1"/>
  <c r="Q52" i="10" s="1"/>
  <c r="R52" i="10" s="1"/>
  <c r="S52" i="10" s="1"/>
  <c r="T52" i="10" s="1"/>
  <c r="U52" i="10" s="1"/>
  <c r="V52" i="10" s="1"/>
  <c r="W52" i="10" s="1"/>
  <c r="X52" i="10" s="1"/>
  <c r="Q12" i="10"/>
  <c r="Q24" i="10" s="1"/>
  <c r="Q26" i="10" s="1"/>
  <c r="Q35" i="10"/>
  <c r="R34" i="10"/>
  <c r="Q36" i="6"/>
  <c r="R35" i="6"/>
  <c r="M142" i="2"/>
  <c r="N141" i="2"/>
  <c r="O141" i="2" s="1"/>
  <c r="M163" i="2"/>
  <c r="L164" i="2" s="1"/>
  <c r="P116" i="2"/>
  <c r="S64" i="10"/>
  <c r="R19" i="10"/>
  <c r="R43" i="10"/>
  <c r="R20" i="6"/>
  <c r="R23" i="6" s="1"/>
  <c r="S65" i="6"/>
  <c r="T42" i="10"/>
  <c r="M45" i="2"/>
  <c r="M46" i="2" s="1"/>
  <c r="V26" i="6"/>
  <c r="V27" i="6" s="1"/>
  <c r="Q47" i="10" l="1"/>
  <c r="P14" i="10"/>
  <c r="P22" i="10" s="1"/>
  <c r="E19" i="9" s="1"/>
  <c r="E23" i="9" s="1"/>
  <c r="E25" i="9" s="1"/>
  <c r="E26" i="9" s="1"/>
  <c r="U113" i="2"/>
  <c r="R113" i="2"/>
  <c r="O114" i="2" s="1"/>
  <c r="T114" i="2" s="1"/>
  <c r="S112" i="2"/>
  <c r="R12" i="10"/>
  <c r="R24" i="10" s="1"/>
  <c r="R26" i="10" s="1"/>
  <c r="V112" i="2"/>
  <c r="W112" i="2" s="1"/>
  <c r="R13" i="10" s="1"/>
  <c r="R53" i="10" s="1"/>
  <c r="S53" i="10" s="1"/>
  <c r="T53" i="10" s="1"/>
  <c r="U53" i="10" s="1"/>
  <c r="V53" i="10" s="1"/>
  <c r="W53" i="10" s="1"/>
  <c r="X53" i="10" s="1"/>
  <c r="R35" i="10"/>
  <c r="S34" i="10"/>
  <c r="S43" i="10"/>
  <c r="T65" i="6"/>
  <c r="T20" i="6" s="1"/>
  <c r="T23" i="6" s="1"/>
  <c r="S20" i="6"/>
  <c r="S23" i="6" s="1"/>
  <c r="F16" i="1" s="1"/>
  <c r="P117" i="2"/>
  <c r="L143" i="2"/>
  <c r="N142" i="2"/>
  <c r="O142" i="2" s="1"/>
  <c r="U42" i="10"/>
  <c r="S35" i="6"/>
  <c r="R36" i="6"/>
  <c r="M47" i="2"/>
  <c r="M48" i="2" s="1"/>
  <c r="M49" i="2" s="1"/>
  <c r="W26" i="6"/>
  <c r="W27" i="6" s="1"/>
  <c r="S19" i="10"/>
  <c r="T64" i="10"/>
  <c r="T19" i="10" s="1"/>
  <c r="M165" i="2"/>
  <c r="L166" i="2" s="1"/>
  <c r="V113" i="2" l="1"/>
  <c r="W113" i="2" s="1"/>
  <c r="S13" i="10" s="1"/>
  <c r="S54" i="10" s="1"/>
  <c r="T54" i="10" s="1"/>
  <c r="U54" i="10" s="1"/>
  <c r="V54" i="10" s="1"/>
  <c r="W54" i="10" s="1"/>
  <c r="X54" i="10" s="1"/>
  <c r="U114" i="2"/>
  <c r="S113" i="2"/>
  <c r="S12" i="10"/>
  <c r="S24" i="10" s="1"/>
  <c r="S26" i="10" s="1"/>
  <c r="R114" i="2"/>
  <c r="O115" i="2" s="1"/>
  <c r="T115" i="2" s="1"/>
  <c r="R47" i="10"/>
  <c r="Q14" i="10"/>
  <c r="Q22" i="10" s="1"/>
  <c r="S35" i="10"/>
  <c r="T34" i="10"/>
  <c r="P118" i="2"/>
  <c r="M167" i="2"/>
  <c r="L168" i="2" s="1"/>
  <c r="T35" i="6"/>
  <c r="S36" i="6"/>
  <c r="X26" i="6"/>
  <c r="X27" i="6" s="1"/>
  <c r="G17" i="1" s="1"/>
  <c r="M50" i="2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N143" i="2"/>
  <c r="O143" i="2" s="1"/>
  <c r="M144" i="2"/>
  <c r="T43" i="10"/>
  <c r="S47" i="10" l="1"/>
  <c r="R14" i="10"/>
  <c r="R22" i="10" s="1"/>
  <c r="V114" i="2"/>
  <c r="W114" i="2" s="1"/>
  <c r="T13" i="10" s="1"/>
  <c r="S114" i="2"/>
  <c r="R115" i="2"/>
  <c r="O116" i="2" s="1"/>
  <c r="T116" i="2" s="1"/>
  <c r="T12" i="10"/>
  <c r="T24" i="10" s="1"/>
  <c r="T26" i="10" s="1"/>
  <c r="F20" i="9" s="1"/>
  <c r="U115" i="2"/>
  <c r="T35" i="10"/>
  <c r="F21" i="9" s="1"/>
  <c r="U34" i="10"/>
  <c r="U43" i="10"/>
  <c r="F18" i="1"/>
  <c r="F22" i="1" s="1"/>
  <c r="F24" i="1" s="1"/>
  <c r="F25" i="1" s="1"/>
  <c r="L145" i="2"/>
  <c r="N144" i="2"/>
  <c r="O144" i="2" s="1"/>
  <c r="T36" i="6"/>
  <c r="U35" i="6"/>
  <c r="M169" i="2"/>
  <c r="L170" i="2" s="1"/>
  <c r="R116" i="2" l="1"/>
  <c r="O117" i="2" s="1"/>
  <c r="T117" i="2" s="1"/>
  <c r="U12" i="10"/>
  <c r="U24" i="10" s="1"/>
  <c r="U26" i="10" s="1"/>
  <c r="S115" i="2"/>
  <c r="V115" i="2"/>
  <c r="W115" i="2" s="1"/>
  <c r="U13" i="10" s="1"/>
  <c r="U56" i="10" s="1"/>
  <c r="V56" i="10" s="1"/>
  <c r="W56" i="10" s="1"/>
  <c r="X56" i="10" s="1"/>
  <c r="U116" i="2"/>
  <c r="T55" i="10"/>
  <c r="U55" i="10" s="1"/>
  <c r="V55" i="10" s="1"/>
  <c r="W55" i="10" s="1"/>
  <c r="X55" i="10" s="1"/>
  <c r="F14" i="9"/>
  <c r="T47" i="10"/>
  <c r="S14" i="10"/>
  <c r="S22" i="10" s="1"/>
  <c r="U35" i="10"/>
  <c r="V34" i="10"/>
  <c r="M171" i="2"/>
  <c r="L172" i="2" s="1"/>
  <c r="N145" i="2"/>
  <c r="O145" i="2" s="1"/>
  <c r="M146" i="2"/>
  <c r="U36" i="6"/>
  <c r="V35" i="6"/>
  <c r="V43" i="10"/>
  <c r="U47" i="10" l="1"/>
  <c r="T14" i="10"/>
  <c r="T22" i="10" s="1"/>
  <c r="F19" i="9" s="1"/>
  <c r="F23" i="9" s="1"/>
  <c r="F25" i="9" s="1"/>
  <c r="F26" i="9" s="1"/>
  <c r="V116" i="2"/>
  <c r="W116" i="2" s="1"/>
  <c r="V13" i="10" s="1"/>
  <c r="V57" i="10" s="1"/>
  <c r="W57" i="10" s="1"/>
  <c r="X57" i="10" s="1"/>
  <c r="R117" i="2"/>
  <c r="O118" i="2" s="1"/>
  <c r="T118" i="2" s="1"/>
  <c r="U117" i="2"/>
  <c r="V12" i="10"/>
  <c r="V24" i="10" s="1"/>
  <c r="V26" i="10" s="1"/>
  <c r="S116" i="2"/>
  <c r="W34" i="10"/>
  <c r="V35" i="10"/>
  <c r="M173" i="2"/>
  <c r="L174" i="2" s="1"/>
  <c r="V36" i="6"/>
  <c r="W35" i="6"/>
  <c r="L147" i="2"/>
  <c r="N146" i="2"/>
  <c r="O146" i="2" s="1"/>
  <c r="W43" i="10"/>
  <c r="V117" i="2" l="1"/>
  <c r="W117" i="2" s="1"/>
  <c r="W13" i="10" s="1"/>
  <c r="W58" i="10" s="1"/>
  <c r="X58" i="10" s="1"/>
  <c r="U118" i="2"/>
  <c r="W12" i="10"/>
  <c r="W24" i="10" s="1"/>
  <c r="W26" i="10" s="1"/>
  <c r="S117" i="2"/>
  <c r="R118" i="2"/>
  <c r="V47" i="10"/>
  <c r="U14" i="10"/>
  <c r="U22" i="10" s="1"/>
  <c r="X34" i="10"/>
  <c r="X35" i="10" s="1"/>
  <c r="W35" i="10"/>
  <c r="X35" i="6"/>
  <c r="X36" i="6" s="1"/>
  <c r="W36" i="6"/>
  <c r="G18" i="1" s="1"/>
  <c r="G22" i="1" s="1"/>
  <c r="G24" i="1" s="1"/>
  <c r="G25" i="1" s="1"/>
  <c r="M175" i="2"/>
  <c r="L176" i="2" s="1"/>
  <c r="M148" i="2"/>
  <c r="N147" i="2"/>
  <c r="O147" i="2" s="1"/>
  <c r="W47" i="10" l="1"/>
  <c r="V14" i="10"/>
  <c r="V22" i="10" s="1"/>
  <c r="X12" i="10"/>
  <c r="X24" i="10" s="1"/>
  <c r="X26" i="10" s="1"/>
  <c r="G20" i="9" s="1"/>
  <c r="S118" i="2"/>
  <c r="V118" i="2"/>
  <c r="W118" i="2" s="1"/>
  <c r="X13" i="10" s="1"/>
  <c r="G21" i="9"/>
  <c r="M177" i="2"/>
  <c r="L178" i="2" s="1"/>
  <c r="L149" i="2"/>
  <c r="N148" i="2"/>
  <c r="O148" i="2" s="1"/>
  <c r="G14" i="9" l="1"/>
  <c r="X83" i="10"/>
  <c r="X19" i="10" s="1"/>
  <c r="X59" i="10"/>
  <c r="X47" i="10"/>
  <c r="W14" i="10"/>
  <c r="W22" i="10" s="1"/>
  <c r="N149" i="2"/>
  <c r="O149" i="2" s="1"/>
  <c r="M150" i="2"/>
  <c r="M179" i="2"/>
  <c r="L180" i="2" s="1"/>
  <c r="X14" i="10" l="1"/>
  <c r="X22" i="10" s="1"/>
  <c r="G19" i="9" s="1"/>
  <c r="G23" i="9" s="1"/>
  <c r="G25" i="9" s="1"/>
  <c r="G26" i="9" s="1"/>
  <c r="M181" i="2"/>
  <c r="L151" i="2"/>
  <c r="N150" i="2"/>
  <c r="O150" i="2" s="1"/>
  <c r="N151" i="2" l="1"/>
  <c r="O151" i="2" s="1"/>
  <c r="M152" i="2"/>
  <c r="L153" i="2" l="1"/>
  <c r="N152" i="2"/>
  <c r="O152" i="2" s="1"/>
  <c r="N153" i="2" l="1"/>
  <c r="O153" i="2" s="1"/>
  <c r="M154" i="2"/>
  <c r="L155" i="2" l="1"/>
  <c r="N154" i="2"/>
  <c r="O154" i="2" s="1"/>
  <c r="N155" i="2" l="1"/>
  <c r="O155" i="2" s="1"/>
  <c r="M156" i="2"/>
  <c r="L157" i="2" l="1"/>
  <c r="N156" i="2"/>
  <c r="O156" i="2" s="1"/>
  <c r="N157" i="2" l="1"/>
  <c r="O157" i="2" s="1"/>
  <c r="M158" i="2"/>
  <c r="L159" i="2" l="1"/>
  <c r="N158" i="2"/>
  <c r="O158" i="2" s="1"/>
  <c r="M160" i="2" l="1"/>
  <c r="N159" i="2"/>
  <c r="O159" i="2" s="1"/>
  <c r="L161" i="2" l="1"/>
  <c r="N160" i="2"/>
  <c r="O160" i="2" s="1"/>
  <c r="N161" i="2" l="1"/>
  <c r="O161" i="2" s="1"/>
  <c r="M162" i="2"/>
  <c r="L163" i="2" l="1"/>
  <c r="N162" i="2"/>
  <c r="O162" i="2" s="1"/>
  <c r="M164" i="2" l="1"/>
  <c r="N163" i="2"/>
  <c r="O163" i="2" s="1"/>
  <c r="L165" i="2" l="1"/>
  <c r="N164" i="2"/>
  <c r="O164" i="2" s="1"/>
  <c r="M166" i="2" l="1"/>
  <c r="N165" i="2"/>
  <c r="O165" i="2" s="1"/>
  <c r="L167" i="2" l="1"/>
  <c r="N166" i="2"/>
  <c r="O166" i="2" s="1"/>
  <c r="M168" i="2" l="1"/>
  <c r="N167" i="2"/>
  <c r="O167" i="2" s="1"/>
  <c r="L169" i="2" l="1"/>
  <c r="N168" i="2"/>
  <c r="O168" i="2" s="1"/>
  <c r="M170" i="2" l="1"/>
  <c r="N169" i="2"/>
  <c r="O169" i="2" s="1"/>
  <c r="L171" i="2" l="1"/>
  <c r="N170" i="2"/>
  <c r="O170" i="2" s="1"/>
  <c r="N171" i="2" l="1"/>
  <c r="O171" i="2" s="1"/>
  <c r="M172" i="2"/>
  <c r="L173" i="2" l="1"/>
  <c r="N172" i="2"/>
  <c r="O172" i="2" s="1"/>
  <c r="N173" i="2" l="1"/>
  <c r="O173" i="2" s="1"/>
  <c r="M174" i="2"/>
  <c r="L175" i="2" l="1"/>
  <c r="N174" i="2"/>
  <c r="O174" i="2" s="1"/>
  <c r="M176" i="2" l="1"/>
  <c r="N175" i="2"/>
  <c r="O175" i="2" s="1"/>
  <c r="L177" i="2" l="1"/>
  <c r="N176" i="2"/>
  <c r="O176" i="2" s="1"/>
  <c r="N177" i="2" l="1"/>
  <c r="O177" i="2" s="1"/>
  <c r="M178" i="2"/>
  <c r="L179" i="2" l="1"/>
  <c r="N178" i="2"/>
  <c r="O178" i="2" s="1"/>
  <c r="M180" i="2" l="1"/>
  <c r="N179" i="2"/>
  <c r="O179" i="2" s="1"/>
  <c r="L181" i="2" l="1"/>
  <c r="N181" i="2" s="1"/>
  <c r="N180" i="2"/>
  <c r="O180" i="2" s="1"/>
  <c r="O18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</author>
  </authors>
  <commentList>
    <comment ref="E1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Nick:</t>
        </r>
        <r>
          <rPr>
            <sz val="8"/>
            <color indexed="81"/>
            <rFont val="Tahoma"/>
            <family val="2"/>
          </rPr>
          <t xml:space="preserve">
add the percentage of year 1 cloud+ICS to the lease and apply equal discount to recurring fee</t>
        </r>
      </text>
    </comment>
    <comment ref="H27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Nick:</t>
        </r>
        <r>
          <rPr>
            <sz val="8"/>
            <color indexed="81"/>
            <rFont val="Tahoma"/>
            <family val="2"/>
          </rPr>
          <t xml:space="preserve">
This value is used for the whole year column</t>
        </r>
      </text>
    </comment>
    <comment ref="C32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 xml:space="preserve">Nick:
Whole year number for 200 subs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</author>
  </authors>
  <commentList>
    <comment ref="H26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Nick:</t>
        </r>
        <r>
          <rPr>
            <sz val="8"/>
            <color indexed="81"/>
            <rFont val="Tahoma"/>
            <family val="2"/>
          </rPr>
          <t xml:space="preserve">
This value is used for the whole year column</t>
        </r>
      </text>
    </comment>
    <comment ref="C31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 xml:space="preserve">Nick:
Whole year number for 200 subs
</t>
        </r>
      </text>
    </comment>
  </commentList>
</comments>
</file>

<file path=xl/sharedStrings.xml><?xml version="1.0" encoding="utf-8"?>
<sst xmlns="http://schemas.openxmlformats.org/spreadsheetml/2006/main" count="416" uniqueCount="218">
  <si>
    <t>REVENUE</t>
  </si>
  <si>
    <t xml:space="preserve">   Average Monthly Revenue Per User (ARPU)</t>
  </si>
  <si>
    <t>ANNUAL SUBSCRIBER REVENUE</t>
  </si>
  <si>
    <t>EXPENSES</t>
  </si>
  <si>
    <t>Direct Internet Access, per 100Mbs</t>
  </si>
  <si>
    <t>$/Month</t>
  </si>
  <si>
    <t>Sub Count</t>
  </si>
  <si>
    <t>Modem Rental</t>
  </si>
  <si>
    <t>4/1</t>
  </si>
  <si>
    <t>10/2</t>
  </si>
  <si>
    <t>Monthly Service Revenue</t>
  </si>
  <si>
    <t>Power Supply</t>
  </si>
  <si>
    <t>Modem rental fee, per month (all subscribers)</t>
  </si>
  <si>
    <t>Commercial Class Service (Download / Upload)</t>
  </si>
  <si>
    <t>Consumer Class Services  (Download/Upload)</t>
  </si>
  <si>
    <t>Total Number of Subscribers</t>
  </si>
  <si>
    <t>Per Site</t>
  </si>
  <si>
    <t>Premium</t>
  </si>
  <si>
    <t>Magnum</t>
  </si>
  <si>
    <t>Magnum Business</t>
  </si>
  <si>
    <t>Services</t>
  </si>
  <si>
    <t>Integrated - standard</t>
  </si>
  <si>
    <t>Reflector - for fringe areas</t>
  </si>
  <si>
    <t>Total CPE</t>
  </si>
  <si>
    <t>Cloud Fee</t>
  </si>
  <si>
    <t>MONTHLY SUBSCRIPTION REVENUE ($ per Month)</t>
  </si>
  <si>
    <t xml:space="preserve">   Capital for Antenna Site (with backhaul radio)</t>
  </si>
  <si>
    <t>First Year Growth</t>
  </si>
  <si>
    <t>Capital Model</t>
  </si>
  <si>
    <t>Full Year</t>
  </si>
  <si>
    <t>Direct internet Access, Per 50Mbs</t>
  </si>
  <si>
    <t xml:space="preserve">  First year lease for all tower equipment and modems  (Based on good credit 48 month lease)</t>
  </si>
  <si>
    <t>TOTAL EXPENSES</t>
  </si>
  <si>
    <t xml:space="preserve">  Whole year lease cost for all tower equipment and modems </t>
  </si>
  <si>
    <t>Monthy Site Lease, Pico Site</t>
  </si>
  <si>
    <t>Pico Fill In Site (Single Radio)</t>
  </si>
  <si>
    <t>Extra</t>
  </si>
  <si>
    <t>Network Operating Margin</t>
  </si>
  <si>
    <t xml:space="preserve">Margin </t>
  </si>
  <si>
    <t>BUSINESS CASE WITH LOCALOOP'S TURNKEY SYNKRO PLATFORM</t>
  </si>
  <si>
    <t xml:space="preserve"> Assumptions for LocaLoop's synKro  Solution</t>
  </si>
  <si>
    <t>Lease values apply to customers which have been in business for a minimum of 2 years.</t>
  </si>
  <si>
    <t>Number of subscribers needed for positive monthly NOM</t>
  </si>
  <si>
    <t>Average CPE, calculated</t>
  </si>
  <si>
    <t>Blended CPE Cost, for model</t>
  </si>
  <si>
    <t>Capacity</t>
  </si>
  <si>
    <t>Price</t>
  </si>
  <si>
    <t>Users</t>
  </si>
  <si>
    <t>Subs</t>
  </si>
  <si>
    <t>Macro x 4</t>
  </si>
  <si>
    <t>End of Year</t>
  </si>
  <si>
    <t>Delta</t>
  </si>
  <si>
    <t>Year 1</t>
  </si>
  <si>
    <t>Year 2</t>
  </si>
  <si>
    <t>Year 3</t>
  </si>
  <si>
    <t>Year 4</t>
  </si>
  <si>
    <t>Time  Line Worksheet</t>
  </si>
  <si>
    <t>Year 5</t>
  </si>
  <si>
    <t>Subscribers, Quarter End</t>
  </si>
  <si>
    <t>Expense</t>
  </si>
  <si>
    <t>Site Count</t>
  </si>
  <si>
    <t xml:space="preserve">Site Capex </t>
  </si>
  <si>
    <t>Site Capex</t>
  </si>
  <si>
    <t>Revenue per quarter</t>
  </si>
  <si>
    <t>Quarter Number</t>
  </si>
  <si>
    <t>Site Capex Leases</t>
  </si>
  <si>
    <t>CPE Lease, Quarter</t>
  </si>
  <si>
    <t>Per month</t>
  </si>
  <si>
    <t xml:space="preserve">CPE Capex </t>
  </si>
  <si>
    <t xml:space="preserve">   Capital for Antenna Site (with backhaul radio), per year</t>
  </si>
  <si>
    <t xml:space="preserve">   Capital for  Modems (Acquired Quarterly), per year</t>
  </si>
  <si>
    <t>CPE :Buy Qty</t>
  </si>
  <si>
    <t>CPE: Buy Capex</t>
  </si>
  <si>
    <t>Capex lease, quarter</t>
  </si>
  <si>
    <t>Tower lease, quarter</t>
  </si>
  <si>
    <t>ICS Fee</t>
  </si>
  <si>
    <t>DIA Fees, per quarter</t>
  </si>
  <si>
    <t>ICS Fees Per quarter</t>
  </si>
  <si>
    <t>Total, quarter</t>
  </si>
  <si>
    <t>Cloud Fees, per quarter</t>
  </si>
  <si>
    <t>total, quarter</t>
  </si>
  <si>
    <t>Whole year capital lease for all tower equipment and modems. (Based on good credit 48 month lease)</t>
  </si>
  <si>
    <t>Yearly Tower Lease Cost &amp; Direct Internet Connectivity</t>
  </si>
  <si>
    <t>Site Capex Lease, Quarter</t>
  </si>
  <si>
    <t>APS Model</t>
  </si>
  <si>
    <t>APS Revenue</t>
  </si>
  <si>
    <t>APS Services</t>
  </si>
  <si>
    <t>cloud fees, per quarter</t>
  </si>
  <si>
    <t>ICS first year per quarter</t>
  </si>
  <si>
    <t>during the quarter shown</t>
  </si>
  <si>
    <t>first year total</t>
  </si>
  <si>
    <t>Quarter</t>
  </si>
  <si>
    <t>Discount Included</t>
  </si>
  <si>
    <t>Year 1 Prepay Discount Applies  ("Yes" or "No")</t>
  </si>
  <si>
    <t xml:space="preserve">   Capital for Modems (per quarter)</t>
  </si>
  <si>
    <t xml:space="preserve">  Yearly Tower Lease  (No DIA included as this is a fill site)</t>
  </si>
  <si>
    <t xml:space="preserve">  Whole year synKro cloud &amp; NOC services (ICS included elsewhere)</t>
  </si>
  <si>
    <t xml:space="preserve">First Year Discount for Prepay of ICS and cloud / NOC services </t>
  </si>
  <si>
    <t>Incremental Price (see chart)</t>
  </si>
  <si>
    <t>Breakeven for Year 1 - with Prepay</t>
  </si>
  <si>
    <t>Whole Year</t>
  </si>
  <si>
    <t>No</t>
  </si>
  <si>
    <t>Take across all consumer subs</t>
  </si>
  <si>
    <t>Not offered to Commercial</t>
  </si>
  <si>
    <t>Unit Cost</t>
  </si>
  <si>
    <t>Extended</t>
  </si>
  <si>
    <t>NUMBER OF SUBSCRIBERS, END OF YEAR (quarterly ramp)</t>
  </si>
  <si>
    <t>Whole year @200</t>
  </si>
  <si>
    <t>CPE Lease 200 full year</t>
  </si>
  <si>
    <t>NUMBER OF SUBSCRIBERS, RAMP TO 50 BY YEAR-END</t>
  </si>
  <si>
    <t>ANNUAL SUBSCRIBER REVENUE OVER FULL YEAR</t>
  </si>
  <si>
    <t>AVERAGE MONTHLY SUBSCRIPTION REVENUE ($ per month during ramp year)</t>
  </si>
  <si>
    <t>MONTHLY SUBSCRIPTION REVENUE ($ per month, full year)</t>
  </si>
  <si>
    <t xml:space="preserve">   Capital for Modems (full year)</t>
  </si>
  <si>
    <t xml:space="preserve">  Ramp year synKro cloud &amp; NOC services (ICS included elsewhere)</t>
  </si>
  <si>
    <t>CPE: Buy with MFA</t>
  </si>
  <si>
    <t>20/3</t>
  </si>
  <si>
    <t>no</t>
  </si>
  <si>
    <t>20/10</t>
  </si>
  <si>
    <r>
      <t xml:space="preserve">Whole year synKro cloud &amp; NOC services, including ICS. ICS fee waived for first </t>
    </r>
    <r>
      <rPr>
        <sz val="10"/>
        <rFont val="Arial"/>
        <family val="2"/>
      </rPr>
      <t>2</t>
    </r>
    <r>
      <rPr>
        <sz val="10"/>
        <rFont val="Arial"/>
        <family val="2"/>
      </rPr>
      <t xml:space="preserve"> months from cutover of Year 1.</t>
    </r>
  </si>
  <si>
    <t>Check</t>
  </si>
  <si>
    <t>Line #</t>
  </si>
  <si>
    <t>ICS Charge per 1 x Mbs capacity  ($ 99.50 for 50Mbs DIA Capacity)</t>
  </si>
  <si>
    <t>GS &amp; A % Input</t>
  </si>
  <si>
    <t>GS &amp; A $</t>
  </si>
  <si>
    <t>This is intended to be a general business case, individual results will vary</t>
  </si>
  <si>
    <t>Yes</t>
  </si>
  <si>
    <t xml:space="preserve">Subscribers Needed for Breakeven Year 1 </t>
  </si>
  <si>
    <t>Monthly Tower Lease, Macro  /Pico Plus Site up to 8 x BST ($600 - $900 average)</t>
  </si>
  <si>
    <t>DIA Capacity Scratchpad  - 36 month term</t>
  </si>
  <si>
    <t>Above, calcuated from the DL capacity on th e Macro for mix, adjust for oversubsciption, discounted to 200 or 1Mbs per sub.</t>
  </si>
  <si>
    <t>Each</t>
  </si>
  <si>
    <t>each</t>
  </si>
  <si>
    <t>After 500 subs, discount the DIA for every 100 additional</t>
  </si>
  <si>
    <t>Mbs</t>
  </si>
  <si>
    <t>Uncapped</t>
  </si>
  <si>
    <t>Magnum Business 5 G</t>
  </si>
  <si>
    <t>Average Cloud Service Fee (only) per sub</t>
  </si>
  <si>
    <t>Note: ICS fees are waived for the first  months of operation and are not part of the amount shown above</t>
  </si>
  <si>
    <t>Magnum (5G)</t>
  </si>
  <si>
    <t>Premium (3.65G)</t>
  </si>
  <si>
    <t>Extra (3.65G)</t>
  </si>
  <si>
    <t>Magnum (3.65G)</t>
  </si>
  <si>
    <t>NUMBER OF SUBSCRIBERS, RAMP TO 65 BY YEAR-END</t>
  </si>
  <si>
    <t>Single Pico Plus Antenna Site with 2 x Base Stations (66 subs capacity)</t>
  </si>
  <si>
    <t>Single Pico Antenna site with 1 x Base Station (33 sub capacity)</t>
  </si>
  <si>
    <t>Macro Site  (Six Sectors)</t>
  </si>
  <si>
    <t>Site Buildout Model - Macro</t>
  </si>
  <si>
    <t>Macro</t>
  </si>
  <si>
    <t>Site Buildout Model - Macro Light</t>
  </si>
  <si>
    <t>CPE Capital Cost (blended) for Macro</t>
  </si>
  <si>
    <t>CPE Capital Cost (blended) for Macro Light</t>
  </si>
  <si>
    <t>Subscriber Revenue Model for Fully Loaded 6 x Base Station Macro Site, Monthly</t>
  </si>
  <si>
    <t>Customer Cost Model - synKro Cloud &amp; NOC Services for Macro -200 subscribers</t>
  </si>
  <si>
    <t>Customer Cost Model - Subscriber Modems for 200 subscribers - Macro</t>
  </si>
  <si>
    <t>Plus (3.65G)</t>
  </si>
  <si>
    <t>CPE Lease 100 full year</t>
  </si>
  <si>
    <t>Macro Light Buildout site with standard licensed PtP</t>
  </si>
  <si>
    <t>Buildout</t>
  </si>
  <si>
    <t>Site Capex  Event</t>
  </si>
  <si>
    <t>Subscriber Revenue Model for Fully Loaded 4 x Base Station Macro Light Site, Monthly</t>
  </si>
  <si>
    <t>Customer Cost Model - synKro Cloud &amp; NOC Services for Macro Light -132 subscribers</t>
  </si>
  <si>
    <t>Subscriber Capacity for macro light</t>
  </si>
  <si>
    <t>Subscriber Capacity Macro</t>
  </si>
  <si>
    <t>Admin Fee</t>
  </si>
  <si>
    <t>Take Rate</t>
  </si>
  <si>
    <t>Other recurring revenue for consumer</t>
  </si>
  <si>
    <t>Fee #3</t>
  </si>
  <si>
    <t>Fee #2</t>
  </si>
  <si>
    <t>Monthly Service Revenue  (ARPU) for full year at capacity</t>
  </si>
  <si>
    <t>Subtotal, Other</t>
  </si>
  <si>
    <t>Single Macro Light Antenna site with 4 x Base Stations (132 sub capacity)</t>
  </si>
  <si>
    <t>Customer Cost Model - Subscriber Modems for 132 subscribers - Macro Light</t>
  </si>
  <si>
    <t>Overbuild</t>
  </si>
  <si>
    <t>Capex</t>
  </si>
  <si>
    <t>Cap Step</t>
  </si>
  <si>
    <t>For the count less than the capacity shown</t>
  </si>
  <si>
    <t>Next quarter delta</t>
  </si>
  <si>
    <t>Cum</t>
  </si>
  <si>
    <t>Macro Light Antenna site upgrade for subscribers 133 -200</t>
  </si>
  <si>
    <t>Cap step</t>
  </si>
  <si>
    <t>Cum Capex</t>
  </si>
  <si>
    <t>installed capacity, quarter start</t>
  </si>
  <si>
    <t>end of quarter capacity</t>
  </si>
  <si>
    <t>subs at end of quarter</t>
  </si>
  <si>
    <t>Next capacity</t>
  </si>
  <si>
    <t>capacity step logic</t>
  </si>
  <si>
    <t>Site BuildsCount</t>
  </si>
  <si>
    <t>Capex event</t>
  </si>
  <si>
    <t>Macro Light - 4 sectors</t>
  </si>
  <si>
    <t xml:space="preserve">   Capital for Antenna Site  per year</t>
  </si>
  <si>
    <t>.</t>
  </si>
  <si>
    <t>Pico Plus Fill In Site with 2 AP Radios</t>
  </si>
  <si>
    <t>Plus</t>
  </si>
  <si>
    <t>Yearly Tower Lease Cost &amp; Direct Internet Access (DIA)</t>
  </si>
  <si>
    <t xml:space="preserve">Whole year synKro cloud &amp; NOC services, including Intelligent Capacity Services. </t>
  </si>
  <si>
    <t>Average Monthly Revenue Per User (ARPU)</t>
  </si>
  <si>
    <t>TOTAL ANNUAL SUBSCRIBER REVENUE</t>
  </si>
  <si>
    <t>This is intended to be an illustrative business case, individual results will vary</t>
  </si>
  <si>
    <t>Change the NUMBER OF SUBSCRIBERS in the green highlighted cells to reflect your annual subscriber goals and the calculator will do the rest.</t>
  </si>
  <si>
    <t>TOTAL ANNUAL OPERATING EXPENSES</t>
  </si>
  <si>
    <t xml:space="preserve">Single Macro Antenna site with 4 x Base Stations (200 sub capacity) </t>
  </si>
  <si>
    <t>NUMBER OF SUBSCRIBERS, End of Year (6 month ramp in Year 1)</t>
  </si>
  <si>
    <t>Year 1 - 6 month ramp</t>
  </si>
  <si>
    <t>Year 2 - 12 month ramp</t>
  </si>
  <si>
    <t>Year 3 - 12 month ramp</t>
  </si>
  <si>
    <t>Year 4 - 12 month ramp</t>
  </si>
  <si>
    <t>Year 5 - 12 month ramp'</t>
  </si>
  <si>
    <t>Loan amount - see area to right for values.</t>
  </si>
  <si>
    <t>Loan calculation</t>
  </si>
  <si>
    <t>yearly rate</t>
  </si>
  <si>
    <t>Monthly rate</t>
  </si>
  <si>
    <t># of payments</t>
  </si>
  <si>
    <t>Principal</t>
  </si>
  <si>
    <t>future value</t>
  </si>
  <si>
    <t>payment timing</t>
  </si>
  <si>
    <t>Monthly payment</t>
  </si>
  <si>
    <t>Discount per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</si>
</sst>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_);\(0.00\)"/>
    <numFmt numFmtId="167" formatCode="_(* #,##0_);_(* \(#,##0\);_(* &quot;-&quot;??_);_(@_)"/>
    <numFmt numFmtId="168" formatCode="0.0000000"/>
    <numFmt numFmtId="169" formatCode="0.0%"/>
    <numFmt numFmtId="170" formatCode="0.0000%"/>
    <numFmt numFmtId="171" formatCode="&quot;$&quot;#,##0.000000_);[Red]\(&quot;$&quot;#,##0.000000\)"/>
  </numFmts>
  <fonts count="30" x14ac:knownFonts="1">
    <font>
      <sz val="10"/>
      <name val="Arial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color indexed="10"/>
      <name val="Arial"/>
      <family val="2"/>
    </font>
    <font>
      <u/>
      <sz val="10"/>
      <color rgb="FFFF0000"/>
      <name val="Arial"/>
      <family val="2"/>
    </font>
    <font>
      <sz val="10"/>
      <name val="Arial"/>
      <family val="2"/>
    </font>
    <font>
      <b/>
      <sz val="10"/>
      <color theme="9"/>
      <name val="Arial"/>
      <family val="2"/>
    </font>
    <font>
      <sz val="10"/>
      <color theme="2" tint="-0.249977111117893"/>
      <name val="Arial"/>
      <family val="2"/>
    </font>
    <font>
      <b/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u/>
      <sz val="10"/>
      <color theme="1" tint="0.34998626667073579"/>
      <name val="Arial"/>
      <family val="2"/>
    </font>
    <font>
      <u val="singleAccounting"/>
      <sz val="10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/>
    <xf numFmtId="6" fontId="0" fillId="0" borderId="0" xfId="0" applyNumberFormat="1"/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5" fillId="0" borderId="0" xfId="0" applyFont="1"/>
    <xf numFmtId="43" fontId="0" fillId="0" borderId="0" xfId="0" applyNumberFormat="1"/>
    <xf numFmtId="6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horizontal="center" vertical="top" wrapText="1"/>
    </xf>
    <xf numFmtId="167" fontId="0" fillId="0" borderId="0" xfId="2" applyNumberFormat="1" applyFont="1"/>
    <xf numFmtId="0" fontId="6" fillId="0" borderId="0" xfId="0" applyFont="1"/>
    <xf numFmtId="167" fontId="0" fillId="0" borderId="0" xfId="0" applyNumberFormat="1"/>
    <xf numFmtId="1" fontId="0" fillId="0" borderId="0" xfId="0" applyNumberFormat="1"/>
    <xf numFmtId="3" fontId="6" fillId="0" borderId="0" xfId="0" applyNumberFormat="1" applyFont="1"/>
    <xf numFmtId="4" fontId="0" fillId="0" borderId="0" xfId="0" applyNumberFormat="1"/>
    <xf numFmtId="164" fontId="6" fillId="0" borderId="0" xfId="0" applyNumberFormat="1" applyFont="1" applyAlignment="1">
      <alignment horizontal="center"/>
    </xf>
    <xf numFmtId="0" fontId="11" fillId="2" borderId="0" xfId="1"/>
    <xf numFmtId="1" fontId="11" fillId="2" borderId="0" xfId="1" applyNumberFormat="1"/>
    <xf numFmtId="1" fontId="0" fillId="0" borderId="0" xfId="2" applyNumberFormat="1" applyFont="1"/>
    <xf numFmtId="9" fontId="6" fillId="0" borderId="0" xfId="0" applyNumberFormat="1" applyFont="1"/>
    <xf numFmtId="0" fontId="0" fillId="0" borderId="0" xfId="0" applyAlignment="1" applyProtection="1">
      <alignment horizontal="center"/>
      <protection locked="0"/>
    </xf>
    <xf numFmtId="0" fontId="9" fillId="0" borderId="0" xfId="0" applyFont="1"/>
    <xf numFmtId="0" fontId="1" fillId="0" borderId="0" xfId="0" applyFont="1"/>
    <xf numFmtId="5" fontId="5" fillId="0" borderId="0" xfId="0" applyNumberFormat="1" applyFont="1" applyAlignment="1">
      <alignment horizontal="center"/>
    </xf>
    <xf numFmtId="164" fontId="0" fillId="0" borderId="0" xfId="0" applyNumberForma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69" fontId="6" fillId="0" borderId="0" xfId="0" applyNumberFormat="1" applyFont="1" applyAlignment="1">
      <alignment horizontal="center"/>
    </xf>
    <xf numFmtId="0" fontId="6" fillId="3" borderId="0" xfId="0" applyFont="1" applyFill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9" fontId="6" fillId="3" borderId="0" xfId="0" applyNumberFormat="1" applyFont="1" applyFill="1" applyAlignment="1" applyProtection="1">
      <alignment horizontal="center"/>
      <protection locked="0"/>
    </xf>
    <xf numFmtId="0" fontId="13" fillId="0" borderId="0" xfId="0" applyFont="1"/>
    <xf numFmtId="0" fontId="14" fillId="0" borderId="0" xfId="0" applyFont="1"/>
    <xf numFmtId="0" fontId="15" fillId="0" borderId="0" xfId="0" applyFont="1"/>
    <xf numFmtId="49" fontId="14" fillId="0" borderId="0" xfId="0" applyNumberFormat="1" applyFont="1" applyAlignment="1">
      <alignment vertical="top" wrapText="1"/>
    </xf>
    <xf numFmtId="0" fontId="16" fillId="0" borderId="0" xfId="0" applyFont="1"/>
    <xf numFmtId="164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5" fontId="14" fillId="0" borderId="0" xfId="0" applyNumberFormat="1" applyFont="1" applyAlignment="1">
      <alignment horizontal="right"/>
    </xf>
    <xf numFmtId="165" fontId="16" fillId="0" borderId="0" xfId="0" applyNumberFormat="1" applyFont="1"/>
    <xf numFmtId="165" fontId="14" fillId="0" borderId="0" xfId="0" applyNumberFormat="1" applyFont="1"/>
    <xf numFmtId="0" fontId="14" fillId="0" borderId="0" xfId="0" applyFont="1" applyAlignment="1">
      <alignment horizontal="left" vertical="top" wrapText="1"/>
    </xf>
    <xf numFmtId="0" fontId="17" fillId="0" borderId="0" xfId="0" applyFont="1"/>
    <xf numFmtId="168" fontId="15" fillId="0" borderId="0" xfId="0" applyNumberFormat="1" applyFont="1"/>
    <xf numFmtId="9" fontId="16" fillId="0" borderId="0" xfId="0" applyNumberFormat="1" applyFont="1"/>
    <xf numFmtId="6" fontId="16" fillId="0" borderId="0" xfId="0" applyNumberFormat="1" applyFont="1"/>
    <xf numFmtId="1" fontId="14" fillId="0" borderId="0" xfId="0" applyNumberFormat="1" applyFont="1"/>
    <xf numFmtId="6" fontId="14" fillId="0" borderId="0" xfId="0" applyNumberFormat="1" applyFont="1"/>
    <xf numFmtId="6" fontId="17" fillId="0" borderId="0" xfId="0" applyNumberFormat="1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3" fontId="14" fillId="0" borderId="0" xfId="2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37" fontId="14" fillId="0" borderId="0" xfId="2" applyNumberFormat="1" applyFont="1" applyAlignment="1">
      <alignment horizontal="left" vertical="center"/>
    </xf>
    <xf numFmtId="9" fontId="14" fillId="0" borderId="0" xfId="3" applyFont="1"/>
    <xf numFmtId="0" fontId="18" fillId="0" borderId="0" xfId="0" applyFont="1"/>
    <xf numFmtId="49" fontId="15" fillId="0" borderId="0" xfId="0" applyNumberFormat="1" applyFont="1" applyAlignment="1">
      <alignment horizontal="left" vertical="top" wrapText="1"/>
    </xf>
    <xf numFmtId="37" fontId="19" fillId="0" borderId="0" xfId="2" applyNumberFormat="1" applyFont="1" applyAlignment="1">
      <alignment horizontal="left" vertical="center"/>
    </xf>
    <xf numFmtId="43" fontId="19" fillId="0" borderId="0" xfId="2" applyFont="1" applyAlignment="1">
      <alignment horizontal="left" vertical="center"/>
    </xf>
    <xf numFmtId="43" fontId="20" fillId="0" borderId="0" xfId="2" applyFont="1" applyAlignment="1">
      <alignment horizontal="left" vertical="center"/>
    </xf>
    <xf numFmtId="164" fontId="14" fillId="0" borderId="0" xfId="0" applyNumberFormat="1" applyFont="1"/>
    <xf numFmtId="37" fontId="14" fillId="0" borderId="0" xfId="0" applyNumberFormat="1" applyFont="1"/>
    <xf numFmtId="43" fontId="14" fillId="0" borderId="0" xfId="0" applyNumberFormat="1" applyFont="1" applyAlignment="1">
      <alignment horizontal="left" vertical="center"/>
    </xf>
    <xf numFmtId="9" fontId="14" fillId="0" borderId="0" xfId="0" applyNumberFormat="1" applyFont="1"/>
    <xf numFmtId="43" fontId="14" fillId="0" borderId="0" xfId="0" applyNumberFormat="1" applyFont="1"/>
    <xf numFmtId="49" fontId="14" fillId="0" borderId="0" xfId="0" applyNumberFormat="1" applyFont="1"/>
    <xf numFmtId="2" fontId="14" fillId="0" borderId="0" xfId="0" applyNumberFormat="1" applyFont="1"/>
    <xf numFmtId="2" fontId="19" fillId="0" borderId="0" xfId="0" applyNumberFormat="1" applyFont="1"/>
    <xf numFmtId="165" fontId="15" fillId="0" borderId="0" xfId="0" applyNumberFormat="1" applyFont="1"/>
    <xf numFmtId="37" fontId="14" fillId="0" borderId="0" xfId="0" applyNumberFormat="1" applyFont="1" applyAlignment="1">
      <alignment horizontal="left" vertical="center"/>
    </xf>
    <xf numFmtId="166" fontId="14" fillId="0" borderId="0" xfId="2" applyNumberFormat="1" applyFont="1"/>
    <xf numFmtId="167" fontId="14" fillId="0" borderId="0" xfId="2" applyNumberFormat="1" applyFont="1"/>
    <xf numFmtId="167" fontId="14" fillId="0" borderId="0" xfId="0" applyNumberFormat="1" applyFont="1"/>
    <xf numFmtId="167" fontId="21" fillId="0" borderId="0" xfId="2" applyNumberFormat="1" applyFont="1"/>
    <xf numFmtId="0" fontId="15" fillId="0" borderId="0" xfId="0" applyFont="1" applyAlignment="1">
      <alignment horizontal="left" vertical="center"/>
    </xf>
    <xf numFmtId="43" fontId="20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9" fontId="14" fillId="0" borderId="0" xfId="0" applyNumberFormat="1" applyFont="1" applyAlignment="1">
      <alignment vertical="center"/>
    </xf>
    <xf numFmtId="37" fontId="16" fillId="0" borderId="0" xfId="2" applyNumberFormat="1" applyFont="1" applyAlignment="1">
      <alignment horizontal="left" vertical="center"/>
    </xf>
    <xf numFmtId="37" fontId="22" fillId="0" borderId="0" xfId="2" applyNumberFormat="1" applyFont="1" applyAlignment="1">
      <alignment horizontal="left" vertical="center"/>
    </xf>
    <xf numFmtId="43" fontId="16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16" fillId="0" borderId="0" xfId="0" applyNumberFormat="1" applyFont="1"/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44" fontId="16" fillId="0" borderId="0" xfId="4" applyFont="1"/>
    <xf numFmtId="44" fontId="14" fillId="0" borderId="0" xfId="0" applyNumberFormat="1" applyFont="1"/>
    <xf numFmtId="43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 wrapText="1"/>
    </xf>
    <xf numFmtId="164" fontId="1" fillId="0" borderId="0" xfId="0" applyNumberFormat="1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167" fontId="1" fillId="0" borderId="0" xfId="0" applyNumberFormat="1" applyFont="1"/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7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9" fontId="5" fillId="0" borderId="0" xfId="3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9" fontId="0" fillId="0" borderId="0" xfId="0" applyNumberFormat="1"/>
    <xf numFmtId="5" fontId="0" fillId="0" borderId="0" xfId="0" applyNumberFormat="1" applyAlignment="1">
      <alignment horizontal="center"/>
    </xf>
    <xf numFmtId="43" fontId="1" fillId="0" borderId="0" xfId="2"/>
    <xf numFmtId="6" fontId="0" fillId="0" borderId="0" xfId="0" applyNumberFormat="1" applyAlignment="1">
      <alignment horizontal="center"/>
    </xf>
    <xf numFmtId="164" fontId="1" fillId="0" borderId="0" xfId="2" applyNumberFormat="1" applyAlignment="1">
      <alignment horizontal="center"/>
    </xf>
    <xf numFmtId="166" fontId="1" fillId="0" borderId="0" xfId="2" applyNumberFormat="1"/>
    <xf numFmtId="43" fontId="24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/>
    <xf numFmtId="9" fontId="25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/>
    <xf numFmtId="37" fontId="1" fillId="0" borderId="0" xfId="0" applyNumberFormat="1" applyFont="1"/>
    <xf numFmtId="167" fontId="1" fillId="0" borderId="0" xfId="2" applyNumberFormat="1"/>
    <xf numFmtId="37" fontId="19" fillId="0" borderId="0" xfId="0" applyNumberFormat="1" applyFont="1"/>
    <xf numFmtId="9" fontId="1" fillId="0" borderId="0" xfId="0" applyNumberFormat="1" applyFont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left" vertical="center"/>
    </xf>
    <xf numFmtId="43" fontId="27" fillId="0" borderId="0" xfId="2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37" fontId="27" fillId="0" borderId="0" xfId="2" applyNumberFormat="1" applyFont="1" applyAlignment="1">
      <alignment horizontal="left" vertical="center"/>
    </xf>
    <xf numFmtId="37" fontId="28" fillId="0" borderId="0" xfId="2" applyNumberFormat="1" applyFont="1" applyAlignment="1">
      <alignment horizontal="left" vertical="center"/>
    </xf>
    <xf numFmtId="43" fontId="28" fillId="0" borderId="0" xfId="2" applyFont="1" applyAlignment="1">
      <alignment horizontal="left" vertical="center"/>
    </xf>
    <xf numFmtId="43" fontId="29" fillId="0" borderId="0" xfId="2" applyFont="1" applyAlignment="1">
      <alignment horizontal="left" vertical="center"/>
    </xf>
    <xf numFmtId="37" fontId="27" fillId="0" borderId="0" xfId="0" applyNumberFormat="1" applyFont="1" applyAlignment="1">
      <alignment horizontal="left" vertical="center"/>
    </xf>
    <xf numFmtId="43" fontId="27" fillId="0" borderId="0" xfId="0" applyNumberFormat="1" applyFont="1" applyAlignment="1">
      <alignment horizontal="left" vertical="center"/>
    </xf>
    <xf numFmtId="2" fontId="27" fillId="0" borderId="0" xfId="0" applyNumberFormat="1" applyFont="1"/>
    <xf numFmtId="37" fontId="27" fillId="0" borderId="0" xfId="0" applyNumberFormat="1" applyFont="1"/>
    <xf numFmtId="2" fontId="28" fillId="0" borderId="0" xfId="0" applyNumberFormat="1" applyFont="1"/>
    <xf numFmtId="43" fontId="2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 applyProtection="1">
      <alignment vertical="top"/>
      <protection locked="0"/>
    </xf>
    <xf numFmtId="0" fontId="5" fillId="0" borderId="0" xfId="0" applyFont="1" applyAlignment="1">
      <alignment vertical="top"/>
    </xf>
    <xf numFmtId="49" fontId="0" fillId="0" borderId="0" xfId="0" applyNumberFormat="1" applyAlignment="1">
      <alignment vertical="top" wrapText="1"/>
    </xf>
    <xf numFmtId="0" fontId="1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3" borderId="0" xfId="0" applyFill="1" applyAlignment="1" applyProtection="1">
      <alignment horizontal="center"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horizontal="center" vertical="top"/>
    </xf>
    <xf numFmtId="5" fontId="5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3" fontId="0" fillId="0" borderId="0" xfId="0" applyNumberForma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169" fontId="6" fillId="0" borderId="0" xfId="0" applyNumberFormat="1" applyFont="1" applyAlignment="1">
      <alignment horizontal="center" vertical="top"/>
    </xf>
    <xf numFmtId="9" fontId="5" fillId="0" borderId="0" xfId="3" applyFont="1" applyAlignment="1">
      <alignment horizontal="center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9" fontId="0" fillId="0" borderId="0" xfId="0" applyNumberForma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0" fillId="4" borderId="0" xfId="0" applyFill="1"/>
    <xf numFmtId="167" fontId="0" fillId="4" borderId="0" xfId="2" applyNumberFormat="1" applyFont="1" applyFill="1"/>
    <xf numFmtId="3" fontId="0" fillId="4" borderId="0" xfId="0" applyNumberFormat="1" applyFill="1"/>
    <xf numFmtId="0" fontId="14" fillId="5" borderId="1" xfId="0" applyFont="1" applyFill="1" applyBorder="1"/>
    <xf numFmtId="0" fontId="1" fillId="5" borderId="2" xfId="0" applyFont="1" applyFill="1" applyBorder="1"/>
    <xf numFmtId="0" fontId="14" fillId="5" borderId="2" xfId="0" applyFont="1" applyFill="1" applyBorder="1"/>
    <xf numFmtId="0" fontId="14" fillId="5" borderId="3" xfId="0" applyFont="1" applyFill="1" applyBorder="1"/>
    <xf numFmtId="0" fontId="14" fillId="5" borderId="4" xfId="0" applyFont="1" applyFill="1" applyBorder="1"/>
    <xf numFmtId="0" fontId="1" fillId="5" borderId="0" xfId="0" applyFont="1" applyFill="1" applyBorder="1"/>
    <xf numFmtId="9" fontId="14" fillId="5" borderId="0" xfId="0" applyNumberFormat="1" applyFont="1" applyFill="1" applyBorder="1"/>
    <xf numFmtId="0" fontId="14" fillId="5" borderId="5" xfId="0" applyFont="1" applyFill="1" applyBorder="1"/>
    <xf numFmtId="170" fontId="14" fillId="5" borderId="0" xfId="3" applyNumberFormat="1" applyFont="1" applyFill="1" applyBorder="1"/>
    <xf numFmtId="0" fontId="14" fillId="5" borderId="0" xfId="0" applyFont="1" applyFill="1" applyBorder="1"/>
    <xf numFmtId="171" fontId="14" fillId="5" borderId="0" xfId="0" applyNumberFormat="1" applyFont="1" applyFill="1" applyBorder="1"/>
    <xf numFmtId="0" fontId="14" fillId="5" borderId="6" xfId="0" applyFont="1" applyFill="1" applyBorder="1"/>
    <xf numFmtId="0" fontId="14" fillId="5" borderId="7" xfId="0" applyFont="1" applyFill="1" applyBorder="1"/>
    <xf numFmtId="0" fontId="14" fillId="5" borderId="8" xfId="0" applyFont="1" applyFill="1" applyBorder="1"/>
    <xf numFmtId="0" fontId="1" fillId="5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0" xfId="0" applyFont="1" applyFill="1"/>
    <xf numFmtId="164" fontId="16" fillId="5" borderId="0" xfId="0" applyNumberFormat="1" applyFont="1" applyFill="1" applyAlignment="1">
      <alignment horizontal="right"/>
    </xf>
    <xf numFmtId="49" fontId="0" fillId="0" borderId="0" xfId="0" applyNumberForma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49" fontId="15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40% - Accent6" xfId="1" builtinId="51"/>
    <cellStyle name="Comma" xfId="2" builtinId="3"/>
    <cellStyle name="Currency" xfId="4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workbookViewId="0">
      <selection activeCell="C16" sqref="C16"/>
    </sheetView>
  </sheetViews>
  <sheetFormatPr defaultColWidth="9.109375" defaultRowHeight="13.2" x14ac:dyDescent="0.25"/>
  <cols>
    <col min="1" max="1" width="9.109375" style="6"/>
    <col min="2" max="2" width="53.109375" style="6" customWidth="1"/>
    <col min="3" max="3" width="12.77734375" style="6" customWidth="1"/>
    <col min="4" max="4" width="13" style="6" customWidth="1"/>
    <col min="5" max="5" width="13.109375" style="6" customWidth="1"/>
    <col min="6" max="6" width="12.109375" style="6" customWidth="1"/>
    <col min="7" max="7" width="13.109375" customWidth="1"/>
    <col min="8" max="8" width="12.77734375" style="6" customWidth="1"/>
    <col min="9" max="16384" width="9.109375" style="6"/>
  </cols>
  <sheetData>
    <row r="1" spans="1:8" ht="18" x14ac:dyDescent="0.35">
      <c r="A1"/>
      <c r="B1" s="7" t="s">
        <v>39</v>
      </c>
      <c r="C1"/>
      <c r="D1"/>
      <c r="E1"/>
      <c r="F1"/>
      <c r="H1"/>
    </row>
    <row r="2" spans="1:8" ht="15" customHeight="1" x14ac:dyDescent="0.25">
      <c r="A2"/>
      <c r="B2" s="9" t="s">
        <v>146</v>
      </c>
      <c r="C2"/>
      <c r="D2"/>
      <c r="E2"/>
      <c r="F2"/>
      <c r="H2"/>
    </row>
    <row r="3" spans="1:8" ht="12.75" customHeight="1" x14ac:dyDescent="0.25">
      <c r="A3"/>
      <c r="B3"/>
      <c r="C3" s="97"/>
      <c r="D3" s="97"/>
      <c r="E3" s="97"/>
      <c r="F3" s="97"/>
      <c r="H3"/>
    </row>
    <row r="4" spans="1:8" ht="12.75" customHeight="1" x14ac:dyDescent="0.25">
      <c r="A4" s="113" t="s">
        <v>121</v>
      </c>
      <c r="B4"/>
      <c r="C4" s="114" t="s">
        <v>52</v>
      </c>
      <c r="D4" s="114" t="s">
        <v>53</v>
      </c>
      <c r="E4" s="114" t="s">
        <v>54</v>
      </c>
      <c r="F4" s="114" t="s">
        <v>55</v>
      </c>
      <c r="G4" s="114" t="s">
        <v>57</v>
      </c>
      <c r="H4" s="115" t="s">
        <v>100</v>
      </c>
    </row>
    <row r="5" spans="1:8" ht="14.4" x14ac:dyDescent="0.3">
      <c r="A5" s="1">
        <v>1</v>
      </c>
      <c r="B5" s="12" t="s">
        <v>0</v>
      </c>
      <c r="C5" s="116"/>
      <c r="D5" s="114"/>
      <c r="E5" s="114"/>
      <c r="F5" s="114"/>
      <c r="H5"/>
    </row>
    <row r="6" spans="1:8" ht="12.75" customHeight="1" x14ac:dyDescent="0.25">
      <c r="A6" s="1">
        <f>A5+1</f>
        <v>2</v>
      </c>
      <c r="B6" s="103" t="s">
        <v>106</v>
      </c>
      <c r="C6" s="33">
        <v>134</v>
      </c>
      <c r="D6" s="34">
        <v>400</v>
      </c>
      <c r="E6" s="34">
        <f>Assumptions!M85</f>
        <v>1800</v>
      </c>
      <c r="F6" s="34">
        <f>Assumptions!M89</f>
        <v>2500</v>
      </c>
      <c r="G6" s="31">
        <f>Assumptions!M93</f>
        <v>3500</v>
      </c>
      <c r="H6" s="31">
        <v>200</v>
      </c>
    </row>
    <row r="7" spans="1:8" x14ac:dyDescent="0.25">
      <c r="A7" s="1">
        <f t="shared" ref="A7:A36" si="0">A6+1</f>
        <v>3</v>
      </c>
      <c r="B7" s="104" t="s">
        <v>25</v>
      </c>
      <c r="C7" s="13" t="s">
        <v>191</v>
      </c>
      <c r="D7" s="13"/>
      <c r="E7" s="13"/>
      <c r="F7" s="13"/>
      <c r="H7" s="1"/>
    </row>
    <row r="8" spans="1:8" ht="12" customHeight="1" x14ac:dyDescent="0.25">
      <c r="A8" s="1">
        <f t="shared" si="0"/>
        <v>4</v>
      </c>
      <c r="B8" s="104" t="s">
        <v>1</v>
      </c>
      <c r="C8" s="105">
        <f>Assumptions!$E$57</f>
        <v>103.6</v>
      </c>
      <c r="D8" s="105">
        <f>Assumptions!$E$57</f>
        <v>103.6</v>
      </c>
      <c r="E8" s="105">
        <f>Assumptions!$E$57</f>
        <v>103.6</v>
      </c>
      <c r="F8" s="105">
        <f>Assumptions!$E$57</f>
        <v>103.6</v>
      </c>
      <c r="G8" s="105">
        <f>Assumptions!$E$57</f>
        <v>103.6</v>
      </c>
      <c r="H8" s="105">
        <f>Assumptions!$E$57</f>
        <v>103.6</v>
      </c>
    </row>
    <row r="9" spans="1:8" ht="13.95" customHeight="1" x14ac:dyDescent="0.25">
      <c r="A9" s="1">
        <f t="shared" si="0"/>
        <v>5</v>
      </c>
      <c r="B9" s="104" t="s">
        <v>2</v>
      </c>
      <c r="C9" s="106">
        <f>C8*78*(C6/12)</f>
        <v>90235.599999999991</v>
      </c>
      <c r="D9" s="106">
        <f>12*C6*D8+78*D8*(D6-C6)/12</f>
        <v>345713.19999999995</v>
      </c>
      <c r="E9" s="106">
        <f>D6*E8*12+78*E8*(E6-D6)/12</f>
        <v>1440040</v>
      </c>
      <c r="F9" s="106">
        <f>E6*F8*12+78*F8*(F6-E6)/12</f>
        <v>2709140</v>
      </c>
      <c r="G9" s="106">
        <f>F6*G8*12+78*G8*(G6-F6)/12</f>
        <v>3781400</v>
      </c>
      <c r="H9" s="28">
        <f>H6*H8*12</f>
        <v>248640</v>
      </c>
    </row>
    <row r="10" spans="1:8" ht="13.95" hidden="1" customHeight="1" x14ac:dyDescent="0.25">
      <c r="A10" s="1">
        <f t="shared" si="0"/>
        <v>6</v>
      </c>
      <c r="B10" s="104"/>
      <c r="C10" s="1"/>
      <c r="D10" s="1"/>
      <c r="E10" s="1"/>
      <c r="F10" s="1"/>
      <c r="H10" s="1"/>
    </row>
    <row r="11" spans="1:8" hidden="1" x14ac:dyDescent="0.25">
      <c r="A11" s="1">
        <f t="shared" si="0"/>
        <v>7</v>
      </c>
      <c r="B11" s="107" t="s">
        <v>28</v>
      </c>
      <c r="C11" s="1"/>
      <c r="D11" s="1"/>
      <c r="E11" s="1"/>
      <c r="F11" s="1"/>
      <c r="H11" s="1"/>
    </row>
    <row r="12" spans="1:8" hidden="1" x14ac:dyDescent="0.25">
      <c r="A12" s="1">
        <f t="shared" si="0"/>
        <v>8</v>
      </c>
      <c r="B12" s="108" t="s">
        <v>69</v>
      </c>
      <c r="C12" s="20">
        <f>SUM('Macro -Time Line'!E14:H14)</f>
        <v>62780</v>
      </c>
      <c r="D12" s="20">
        <f>SUM('Macro -Time Line'!I14:L14)</f>
        <v>125560</v>
      </c>
      <c r="E12" s="20">
        <f>SUM('Macro -Time Line'!M14:P14)</f>
        <v>376680</v>
      </c>
      <c r="F12" s="20">
        <f>SUM('Macro -Time Line'!Q14:T14)</f>
        <v>251120</v>
      </c>
      <c r="G12" s="20">
        <f>SUM('Macro -Time Line'!U14:X14)</f>
        <v>313900</v>
      </c>
      <c r="H12" s="3">
        <f>Assumptions!I6</f>
        <v>62780</v>
      </c>
    </row>
    <row r="13" spans="1:8" hidden="1" x14ac:dyDescent="0.25">
      <c r="A13" s="1">
        <f t="shared" si="0"/>
        <v>9</v>
      </c>
      <c r="B13" s="108" t="s">
        <v>70</v>
      </c>
      <c r="C13" s="20">
        <f>SUM('Macro -Time Line'!E19:H19)</f>
        <v>93520</v>
      </c>
      <c r="D13" s="20">
        <f>SUM('Macro -Time Line'!I19:L19)</f>
        <v>149632</v>
      </c>
      <c r="E13" s="20">
        <f>SUM('Macro -Time Line'!M19:P19)</f>
        <v>448896</v>
      </c>
      <c r="F13" s="20">
        <f>SUM('Macro -Time Line'!Q19:T19)</f>
        <v>261856</v>
      </c>
      <c r="G13" s="20">
        <f>SUM('Macro -Time Line'!U19:X19)</f>
        <v>374080</v>
      </c>
      <c r="H13" s="20">
        <v>90900</v>
      </c>
    </row>
    <row r="14" spans="1:8" ht="15" hidden="1" customHeight="1" x14ac:dyDescent="0.25">
      <c r="A14" s="1">
        <f t="shared" si="0"/>
        <v>10</v>
      </c>
      <c r="B14" s="104"/>
      <c r="C14" s="1"/>
      <c r="D14" s="1"/>
      <c r="E14" s="1"/>
      <c r="F14" s="1"/>
      <c r="H14" s="1"/>
    </row>
    <row r="15" spans="1:8" ht="16.95" customHeight="1" x14ac:dyDescent="0.3">
      <c r="A15" s="1">
        <f t="shared" si="0"/>
        <v>11</v>
      </c>
      <c r="B15" s="12" t="s">
        <v>3</v>
      </c>
      <c r="C15" s="3"/>
      <c r="D15" s="3"/>
      <c r="E15" s="3"/>
      <c r="F15" s="3"/>
      <c r="H15" s="1"/>
    </row>
    <row r="16" spans="1:8" ht="26.4" x14ac:dyDescent="0.25">
      <c r="A16" s="1">
        <f t="shared" si="0"/>
        <v>12</v>
      </c>
      <c r="B16" s="108" t="s">
        <v>81</v>
      </c>
      <c r="C16" s="20">
        <f>SUM('Macro -Time Line'!E23:H23)</f>
        <v>25515.165727922544</v>
      </c>
      <c r="D16" s="20">
        <f>SUM('Macro -Time Line'!I23:L23)</f>
        <v>79147.526310011177</v>
      </c>
      <c r="E16" s="20">
        <f>SUM('Macro -Time Line'!M23:P23)</f>
        <v>229804.86672947387</v>
      </c>
      <c r="F16" s="20">
        <f>SUM('Macro -Time Line'!Q23:T23)</f>
        <v>379324.45811262517</v>
      </c>
      <c r="G16" s="20">
        <f>SUM('Macro -Time Line'!U23:X23)</f>
        <v>501458.9946865763</v>
      </c>
      <c r="H16" s="3">
        <f>12*(H12+H13)/Assumptions!I21</f>
        <v>37392.915290920966</v>
      </c>
    </row>
    <row r="17" spans="1:8" ht="15" customHeight="1" x14ac:dyDescent="0.25">
      <c r="A17" s="1">
        <f t="shared" si="0"/>
        <v>13</v>
      </c>
      <c r="B17" s="109" t="s">
        <v>82</v>
      </c>
      <c r="C17" s="20">
        <f>SUM('Macro -Time Line'!E27:H27)</f>
        <v>21300</v>
      </c>
      <c r="D17" s="20">
        <f>SUM('Macro -Time Line'!I27:L27)</f>
        <v>48395.25</v>
      </c>
      <c r="E17" s="20">
        <f>SUM('Macro -Time Line'!M27:P27)</f>
        <v>121108.5</v>
      </c>
      <c r="F17" s="20">
        <f>SUM('Macro -Time Line'!Q27:T27)</f>
        <v>191577</v>
      </c>
      <c r="G17" s="20">
        <f>SUM('Macro -Time Line'!U27:X27)</f>
        <v>264126</v>
      </c>
      <c r="H17" s="3">
        <f>4*'Macro -Time Line'!H27</f>
        <v>25800</v>
      </c>
    </row>
    <row r="18" spans="1:8" ht="26.4" x14ac:dyDescent="0.25">
      <c r="A18" s="1">
        <f t="shared" si="0"/>
        <v>14</v>
      </c>
      <c r="B18" s="110" t="s">
        <v>119</v>
      </c>
      <c r="C18" s="20">
        <f>SUM('Macro -Time Line'!E36:H36)</f>
        <v>22788</v>
      </c>
      <c r="D18" s="20">
        <f>SUM('Macro -Time Line'!I36:L36)</f>
        <v>84156.15</v>
      </c>
      <c r="E18" s="20">
        <f>SUM('Macro -Time Line'!M36:P36)</f>
        <v>251543.09999999998</v>
      </c>
      <c r="F18" s="20">
        <f>SUM('Macro -Time Line'!Q36:T36)</f>
        <v>415666.2</v>
      </c>
      <c r="G18" s="20">
        <f>SUM('Macro -Time Line'!U36:X36)</f>
        <v>580923.6</v>
      </c>
      <c r="H18" s="20">
        <f>'Macro -Time Line'!D32</f>
        <v>37416</v>
      </c>
    </row>
    <row r="19" spans="1:8" ht="13.95" customHeight="1" x14ac:dyDescent="0.25">
      <c r="A19" s="1">
        <f t="shared" si="0"/>
        <v>15</v>
      </c>
      <c r="B19" s="111" t="s">
        <v>123</v>
      </c>
      <c r="C19" s="35">
        <v>0.1</v>
      </c>
      <c r="D19" s="35">
        <v>0.1</v>
      </c>
      <c r="E19" s="35">
        <v>0.1</v>
      </c>
      <c r="F19" s="35">
        <v>0.1</v>
      </c>
      <c r="G19" s="35">
        <v>0.1</v>
      </c>
      <c r="H19" s="35">
        <v>0.1</v>
      </c>
    </row>
    <row r="20" spans="1:8" ht="13.95" customHeight="1" x14ac:dyDescent="0.25">
      <c r="A20" s="1">
        <f t="shared" si="0"/>
        <v>16</v>
      </c>
      <c r="B20" s="111" t="s">
        <v>124</v>
      </c>
      <c r="C20" s="20">
        <f>C9*C19</f>
        <v>9023.56</v>
      </c>
      <c r="D20" s="20">
        <f>D9*D19</f>
        <v>34571.32</v>
      </c>
      <c r="E20" s="20">
        <f t="shared" ref="E20:H20" si="1">E9*E19</f>
        <v>144004</v>
      </c>
      <c r="F20" s="20">
        <f t="shared" si="1"/>
        <v>270914</v>
      </c>
      <c r="G20" s="20">
        <f t="shared" si="1"/>
        <v>378140</v>
      </c>
      <c r="H20" s="20">
        <f t="shared" si="1"/>
        <v>24864</v>
      </c>
    </row>
    <row r="21" spans="1:8" x14ac:dyDescent="0.25">
      <c r="A21" s="1">
        <f t="shared" si="0"/>
        <v>17</v>
      </c>
      <c r="B21" s="110"/>
      <c r="C21" s="32"/>
      <c r="D21" s="20"/>
      <c r="E21" s="20"/>
      <c r="F21" s="20"/>
      <c r="G21" s="20"/>
      <c r="H21" s="20"/>
    </row>
    <row r="22" spans="1:8" ht="14.4" x14ac:dyDescent="0.3">
      <c r="A22" s="1">
        <f t="shared" si="0"/>
        <v>18</v>
      </c>
      <c r="B22" s="12" t="s">
        <v>32</v>
      </c>
      <c r="C22" s="3">
        <f>C16+C17+C20+C18</f>
        <v>78626.725727922545</v>
      </c>
      <c r="D22" s="3">
        <f t="shared" ref="D22:H22" si="2">D16+D17+D20+D18</f>
        <v>246270.24631001116</v>
      </c>
      <c r="E22" s="3">
        <f t="shared" si="2"/>
        <v>746460.46672947379</v>
      </c>
      <c r="F22" s="3">
        <f t="shared" si="2"/>
        <v>1257481.6581126251</v>
      </c>
      <c r="G22" s="3">
        <f t="shared" si="2"/>
        <v>1724648.5946865762</v>
      </c>
      <c r="H22" s="3">
        <f t="shared" si="2"/>
        <v>125472.91529092097</v>
      </c>
    </row>
    <row r="23" spans="1:8" x14ac:dyDescent="0.25">
      <c r="A23" s="1">
        <f t="shared" si="0"/>
        <v>19</v>
      </c>
      <c r="B23" s="104"/>
      <c r="C23" s="1"/>
      <c r="D23" s="1"/>
      <c r="E23" s="1"/>
      <c r="F23" s="1"/>
      <c r="H23" s="1"/>
    </row>
    <row r="24" spans="1:8" ht="14.4" x14ac:dyDescent="0.3">
      <c r="A24" s="1">
        <f t="shared" si="0"/>
        <v>20</v>
      </c>
      <c r="B24" s="12" t="s">
        <v>37</v>
      </c>
      <c r="C24" s="106">
        <f t="shared" ref="C24:H24" si="3">C9-C22</f>
        <v>11608.874272077446</v>
      </c>
      <c r="D24" s="106">
        <f t="shared" si="3"/>
        <v>99442.95368998879</v>
      </c>
      <c r="E24" s="106">
        <f t="shared" si="3"/>
        <v>693579.53327052621</v>
      </c>
      <c r="F24" s="106">
        <f t="shared" si="3"/>
        <v>1451658.3418873749</v>
      </c>
      <c r="G24" s="106">
        <f t="shared" si="3"/>
        <v>2056751.4053134238</v>
      </c>
      <c r="H24" s="106">
        <f t="shared" si="3"/>
        <v>123167.08470907903</v>
      </c>
    </row>
    <row r="25" spans="1:8" ht="14.4" x14ac:dyDescent="0.3">
      <c r="A25" s="1">
        <f t="shared" si="0"/>
        <v>21</v>
      </c>
      <c r="B25" s="12" t="s">
        <v>38</v>
      </c>
      <c r="C25" s="112">
        <f>C24/C9</f>
        <v>0.12865071293455629</v>
      </c>
      <c r="D25" s="112">
        <f t="shared" ref="D25:H25" si="4">D24/D9</f>
        <v>0.28764581071821615</v>
      </c>
      <c r="E25" s="112">
        <f t="shared" si="4"/>
        <v>0.48163907479689883</v>
      </c>
      <c r="F25" s="112">
        <f t="shared" si="4"/>
        <v>0.53583732914776461</v>
      </c>
      <c r="G25" s="112">
        <f t="shared" si="4"/>
        <v>0.54391267924933195</v>
      </c>
      <c r="H25" s="112">
        <f t="shared" si="4"/>
        <v>0.49536311417744144</v>
      </c>
    </row>
    <row r="26" spans="1:8" hidden="1" x14ac:dyDescent="0.25">
      <c r="A26" s="1">
        <f t="shared" si="0"/>
        <v>22</v>
      </c>
      <c r="B26"/>
      <c r="C26"/>
      <c r="D26"/>
      <c r="E26"/>
      <c r="F26"/>
      <c r="H26" s="1"/>
    </row>
    <row r="27" spans="1:8" ht="14.4" hidden="1" x14ac:dyDescent="0.3">
      <c r="A27" s="1">
        <f t="shared" si="0"/>
        <v>23</v>
      </c>
      <c r="B27" s="8" t="s">
        <v>93</v>
      </c>
      <c r="C27" s="115" t="s">
        <v>101</v>
      </c>
      <c r="D27" s="1" t="s">
        <v>126</v>
      </c>
      <c r="E27" s="117" t="s">
        <v>101</v>
      </c>
      <c r="F27" s="117" t="s">
        <v>101</v>
      </c>
      <c r="G27" s="117" t="s">
        <v>101</v>
      </c>
      <c r="H27" s="1" t="s">
        <v>117</v>
      </c>
    </row>
    <row r="28" spans="1:8" hidden="1" x14ac:dyDescent="0.25">
      <c r="A28" s="1">
        <f t="shared" si="0"/>
        <v>24</v>
      </c>
      <c r="B28"/>
      <c r="C28" s="118"/>
      <c r="D28"/>
      <c r="E28"/>
      <c r="F28"/>
      <c r="H28" s="1"/>
    </row>
    <row r="29" spans="1:8" ht="15.6" hidden="1" x14ac:dyDescent="0.3">
      <c r="A29" s="1">
        <f t="shared" si="0"/>
        <v>25</v>
      </c>
      <c r="B29" s="26" t="s">
        <v>99</v>
      </c>
      <c r="C29" s="1">
        <v>84</v>
      </c>
      <c r="D29"/>
      <c r="E29"/>
      <c r="F29"/>
      <c r="H29" s="1"/>
    </row>
    <row r="30" spans="1:8" ht="15.6" x14ac:dyDescent="0.3">
      <c r="A30" s="1">
        <f t="shared" si="0"/>
        <v>26</v>
      </c>
      <c r="B30" s="26" t="s">
        <v>127</v>
      </c>
      <c r="C30" s="1">
        <v>134</v>
      </c>
      <c r="D30"/>
      <c r="E30"/>
      <c r="F30"/>
      <c r="H30" s="1"/>
    </row>
    <row r="31" spans="1:8" ht="15" customHeight="1" x14ac:dyDescent="0.25">
      <c r="A31" s="1"/>
      <c r="B31" s="9" t="s">
        <v>125</v>
      </c>
      <c r="C31" s="9"/>
      <c r="D31"/>
      <c r="E31"/>
      <c r="F31"/>
      <c r="H31"/>
    </row>
    <row r="32" spans="1:8" x14ac:dyDescent="0.25">
      <c r="A32" s="25"/>
      <c r="C32" s="25"/>
    </row>
    <row r="33" spans="1:5" hidden="1" x14ac:dyDescent="0.25">
      <c r="A33" s="25">
        <f t="shared" si="0"/>
        <v>1</v>
      </c>
      <c r="C33" s="6">
        <v>200</v>
      </c>
      <c r="E33" s="29"/>
    </row>
    <row r="34" spans="1:5" hidden="1" x14ac:dyDescent="0.25">
      <c r="A34" s="25">
        <f t="shared" si="0"/>
        <v>2</v>
      </c>
      <c r="E34" s="29">
        <v>119228.36249999999</v>
      </c>
    </row>
    <row r="35" spans="1:5" hidden="1" x14ac:dyDescent="0.25">
      <c r="A35" s="25">
        <f t="shared" si="0"/>
        <v>3</v>
      </c>
      <c r="E35" s="29">
        <f>E33-E34</f>
        <v>-119228.36249999999</v>
      </c>
    </row>
    <row r="36" spans="1:5" hidden="1" x14ac:dyDescent="0.25">
      <c r="A36" s="25">
        <f t="shared" si="0"/>
        <v>4</v>
      </c>
      <c r="D36" s="30" t="s">
        <v>120</v>
      </c>
      <c r="E36" s="29">
        <f>E34+E35</f>
        <v>0</v>
      </c>
    </row>
  </sheetData>
  <sheetProtection selectLockedCells="1"/>
  <scenarios current="0" show="0">
    <scenario name="Year1" locked="1" count="1" user="Nick" comment="change year 1 endpoint_x000a_Modified by Nick on 10/20/2015">
      <inputCells r="D33" val="90"/>
    </scenario>
  </scenarios>
  <phoneticPr fontId="4" type="noConversion"/>
  <pageMargins left="0.75" right="0.75" top="1" bottom="1" header="0.5" footer="0.5"/>
  <pageSetup scale="6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6"/>
  <sheetViews>
    <sheetView tabSelected="1" zoomScaleNormal="100" zoomScalePageLayoutView="150" workbookViewId="0">
      <selection activeCell="I31" sqref="I31"/>
    </sheetView>
  </sheetViews>
  <sheetFormatPr defaultColWidth="9.109375" defaultRowHeight="13.2" x14ac:dyDescent="0.25"/>
  <cols>
    <col min="1" max="1" width="9.109375" style="158"/>
    <col min="2" max="2" width="53.109375" style="158" customWidth="1"/>
    <col min="3" max="3" width="12.77734375" style="158" customWidth="1"/>
    <col min="4" max="4" width="13" style="158" customWidth="1"/>
    <col min="5" max="5" width="13.109375" style="158" customWidth="1"/>
    <col min="6" max="6" width="12.109375" style="158" customWidth="1"/>
    <col min="7" max="7" width="13.109375" style="156" customWidth="1"/>
    <col min="8" max="8" width="12.77734375" style="158" customWidth="1"/>
    <col min="9" max="10" width="9.109375" style="158"/>
    <col min="11" max="11" width="11.109375" style="158" bestFit="1" customWidth="1"/>
    <col min="12" max="16384" width="9.109375" style="158"/>
  </cols>
  <sheetData>
    <row r="1" spans="1:11" ht="18" x14ac:dyDescent="0.25">
      <c r="A1" s="156"/>
      <c r="B1" s="157" t="s">
        <v>39</v>
      </c>
      <c r="C1" s="156"/>
      <c r="D1" s="156"/>
      <c r="E1" s="156"/>
      <c r="F1" s="156"/>
      <c r="H1" s="156"/>
    </row>
    <row r="2" spans="1:11" ht="15" customHeight="1" x14ac:dyDescent="0.25">
      <c r="A2" s="156"/>
      <c r="B2" s="159" t="s">
        <v>199</v>
      </c>
      <c r="C2" s="156"/>
      <c r="D2" s="156"/>
      <c r="E2" s="156"/>
      <c r="F2" s="156"/>
      <c r="H2" s="156"/>
    </row>
    <row r="3" spans="1:11" ht="15" customHeight="1" x14ac:dyDescent="0.25">
      <c r="A3" s="156"/>
      <c r="B3" s="159" t="s">
        <v>189</v>
      </c>
      <c r="C3" s="156"/>
      <c r="D3" s="156"/>
      <c r="E3" s="156"/>
      <c r="F3" s="156"/>
      <c r="H3" s="156"/>
    </row>
    <row r="4" spans="1:11" ht="12.75" customHeight="1" x14ac:dyDescent="0.25">
      <c r="A4" s="156"/>
      <c r="B4" s="156"/>
      <c r="C4" s="160"/>
      <c r="D4" s="160"/>
      <c r="E4" s="160"/>
      <c r="F4" s="160"/>
      <c r="H4" s="156"/>
    </row>
    <row r="5" spans="1:11" ht="12.75" customHeight="1" x14ac:dyDescent="0.25">
      <c r="A5" s="161" t="s">
        <v>121</v>
      </c>
      <c r="B5" s="156"/>
      <c r="C5" s="152" t="s">
        <v>52</v>
      </c>
      <c r="D5" s="152" t="s">
        <v>53</v>
      </c>
      <c r="E5" s="152" t="s">
        <v>54</v>
      </c>
      <c r="F5" s="152" t="s">
        <v>55</v>
      </c>
      <c r="G5" s="152" t="s">
        <v>57</v>
      </c>
      <c r="H5" s="162" t="s">
        <v>100</v>
      </c>
    </row>
    <row r="6" spans="1:11" ht="15" customHeight="1" x14ac:dyDescent="0.25">
      <c r="A6" s="153">
        <v>1</v>
      </c>
      <c r="B6" s="163" t="s">
        <v>0</v>
      </c>
      <c r="C6" s="116"/>
      <c r="D6" s="152"/>
      <c r="E6" s="152"/>
      <c r="F6" s="152"/>
      <c r="H6" s="156"/>
    </row>
    <row r="7" spans="1:11" ht="28.2" customHeight="1" x14ac:dyDescent="0.25">
      <c r="A7" s="153">
        <f>A6+1</f>
        <v>2</v>
      </c>
      <c r="B7" s="164" t="s">
        <v>202</v>
      </c>
      <c r="C7" s="33">
        <v>132</v>
      </c>
      <c r="D7" s="33">
        <v>264</v>
      </c>
      <c r="E7" s="33">
        <v>480</v>
      </c>
      <c r="F7" s="33">
        <v>960</v>
      </c>
      <c r="G7" s="33">
        <v>1920</v>
      </c>
      <c r="H7" s="165">
        <v>132</v>
      </c>
      <c r="K7" s="166"/>
    </row>
    <row r="8" spans="1:11" x14ac:dyDescent="0.25">
      <c r="A8" s="153">
        <f t="shared" ref="A8:A30" si="0">A7+1</f>
        <v>3</v>
      </c>
      <c r="B8" s="160" t="s">
        <v>25</v>
      </c>
      <c r="C8" s="13"/>
      <c r="D8" s="13"/>
      <c r="E8" s="13"/>
      <c r="F8" s="13"/>
      <c r="H8" s="153"/>
    </row>
    <row r="9" spans="1:11" ht="15" customHeight="1" x14ac:dyDescent="0.25">
      <c r="A9" s="153">
        <v>3</v>
      </c>
      <c r="B9" s="160" t="s">
        <v>196</v>
      </c>
      <c r="C9" s="167">
        <f>Assumptions!$E$89</f>
        <v>79.916666666666671</v>
      </c>
      <c r="D9" s="167">
        <f>Assumptions!$E$89</f>
        <v>79.916666666666671</v>
      </c>
      <c r="E9" s="167">
        <f>Assumptions!$E$89</f>
        <v>79.916666666666671</v>
      </c>
      <c r="F9" s="167">
        <f>Assumptions!$E$89</f>
        <v>79.916666666666671</v>
      </c>
      <c r="G9" s="167">
        <f>Assumptions!$E$89</f>
        <v>79.916666666666671</v>
      </c>
      <c r="H9" s="167">
        <f>Assumptions!$E$89</f>
        <v>79.916666666666671</v>
      </c>
    </row>
    <row r="10" spans="1:11" ht="4.05" customHeight="1" x14ac:dyDescent="0.25">
      <c r="A10" s="153"/>
      <c r="B10" s="160"/>
      <c r="C10" s="167"/>
      <c r="D10" s="167"/>
      <c r="E10" s="167"/>
      <c r="F10" s="167"/>
      <c r="G10" s="167"/>
      <c r="H10" s="167"/>
    </row>
    <row r="11" spans="1:11" ht="15" customHeight="1" x14ac:dyDescent="0.25">
      <c r="A11" s="153">
        <v>4</v>
      </c>
      <c r="B11" s="168" t="s">
        <v>197</v>
      </c>
      <c r="C11" s="169">
        <f>SUM('Macro Light -Time Line'!E7:H7)</f>
        <v>94941</v>
      </c>
      <c r="D11" s="169">
        <f>SUM('Macro Light -Time Line'!I7:L7)</f>
        <v>237352.5</v>
      </c>
      <c r="E11" s="169">
        <f>SUM('Macro Light -Time Line'!M7:P7)</f>
        <v>434427</v>
      </c>
      <c r="F11" s="169">
        <f>SUM('Macro Light -Time Line'!Q7:T7)</f>
        <v>863100</v>
      </c>
      <c r="G11" s="169">
        <f>SUM('Macro Light -Time Line'!U7:X7)</f>
        <v>1726200</v>
      </c>
      <c r="H11" s="170">
        <f>H7*H9*12</f>
        <v>126588</v>
      </c>
    </row>
    <row r="12" spans="1:11" ht="13.95" hidden="1" customHeight="1" x14ac:dyDescent="0.25">
      <c r="A12" s="153">
        <f t="shared" si="0"/>
        <v>5</v>
      </c>
      <c r="B12" s="160"/>
      <c r="C12" s="153"/>
      <c r="D12" s="153"/>
      <c r="E12" s="153"/>
      <c r="F12" s="153"/>
      <c r="H12" s="153"/>
    </row>
    <row r="13" spans="1:11" hidden="1" x14ac:dyDescent="0.25">
      <c r="A13" s="153">
        <f t="shared" si="0"/>
        <v>6</v>
      </c>
      <c r="B13" s="168" t="s">
        <v>28</v>
      </c>
      <c r="C13" s="153"/>
      <c r="D13" s="153"/>
      <c r="E13" s="153"/>
      <c r="F13" s="153"/>
      <c r="H13" s="153"/>
    </row>
    <row r="14" spans="1:11" hidden="1" x14ac:dyDescent="0.25">
      <c r="A14" s="153">
        <f t="shared" si="0"/>
        <v>7</v>
      </c>
      <c r="B14" s="171" t="s">
        <v>190</v>
      </c>
      <c r="C14" s="154">
        <f>SUM('Macro Light -Time Line'!E13:H13)</f>
        <v>67403</v>
      </c>
      <c r="D14" s="154">
        <f>SUM('Macro Light -Time Line'!I13:L13)</f>
        <v>48510</v>
      </c>
      <c r="E14" s="154">
        <f>SUM('Macro Light -Time Line'!M13:P13)</f>
        <v>86296</v>
      </c>
      <c r="F14" s="154">
        <f>SUM('Macro Light -Time Line'!Q13:T13)</f>
        <v>134806</v>
      </c>
      <c r="G14" s="154">
        <f>SUM('Macro Light -Time Line'!U13:X13)</f>
        <v>134806</v>
      </c>
      <c r="H14" s="155">
        <f>Assumptions!I7</f>
        <v>48510</v>
      </c>
    </row>
    <row r="15" spans="1:11" hidden="1" x14ac:dyDescent="0.25">
      <c r="A15" s="153">
        <f t="shared" si="0"/>
        <v>8</v>
      </c>
      <c r="B15" s="172" t="s">
        <v>70</v>
      </c>
      <c r="C15" s="154">
        <f>SUM('Macro Light -Time Line'!E18:H18)</f>
        <v>34161.454545454544</v>
      </c>
      <c r="D15" s="154">
        <f>SUM('Macro Light -Time Line'!I18:L18)</f>
        <v>46972</v>
      </c>
      <c r="E15" s="154">
        <f>SUM('Macro Light -Time Line'!M18:P18)</f>
        <v>76863.272727272735</v>
      </c>
      <c r="F15" s="154">
        <f>SUM('Macro Light -Time Line'!Q18:T18)</f>
        <v>170807.27272727274</v>
      </c>
      <c r="G15" s="154">
        <f>SUM('Macro Light -Time Line'!U18:X18)</f>
        <v>341614.54545454547</v>
      </c>
      <c r="H15" s="154">
        <f>H7*Assumptions!I13</f>
        <v>45689.159999999996</v>
      </c>
    </row>
    <row r="16" spans="1:11" ht="15" hidden="1" customHeight="1" x14ac:dyDescent="0.25">
      <c r="A16" s="153">
        <f t="shared" si="0"/>
        <v>9</v>
      </c>
      <c r="B16" s="160"/>
      <c r="C16" s="173"/>
      <c r="D16" s="153"/>
      <c r="E16" s="153"/>
      <c r="F16" s="153"/>
      <c r="H16" s="153"/>
    </row>
    <row r="17" spans="1:8" ht="15" customHeight="1" x14ac:dyDescent="0.25">
      <c r="A17" s="153"/>
      <c r="B17" s="160"/>
      <c r="C17" s="173"/>
      <c r="D17" s="153"/>
      <c r="E17" s="153"/>
      <c r="F17" s="153"/>
      <c r="H17" s="153"/>
    </row>
    <row r="18" spans="1:8" ht="13.95" customHeight="1" x14ac:dyDescent="0.25">
      <c r="A18" s="153">
        <v>5</v>
      </c>
      <c r="B18" s="163" t="s">
        <v>3</v>
      </c>
      <c r="C18" s="155"/>
      <c r="D18" s="155"/>
      <c r="E18" s="155"/>
      <c r="F18" s="155"/>
      <c r="H18" s="153"/>
    </row>
    <row r="19" spans="1:8" ht="30" customHeight="1" x14ac:dyDescent="0.25">
      <c r="A19" s="153">
        <f t="shared" si="0"/>
        <v>6</v>
      </c>
      <c r="B19" s="172" t="s">
        <v>81</v>
      </c>
      <c r="C19" s="154">
        <f>SUM('Macro Light -Time Line'!E22:H22)</f>
        <v>21644.943032463987</v>
      </c>
      <c r="D19" s="154">
        <f>SUM('Macro Light -Time Line'!I22:L22)</f>
        <v>40005.299977255498</v>
      </c>
      <c r="E19" s="154">
        <f>SUM('Macro Light -Time Line'!M22:P22)</f>
        <v>74347.99915574913</v>
      </c>
      <c r="F19" s="154">
        <f>SUM('Macro Light -Time Line'!Q22:T22)</f>
        <v>140677.89933197643</v>
      </c>
      <c r="G19" s="154">
        <f>SUM('Macro Light -Time Line'!U22:X22)</f>
        <v>218517.10184425273</v>
      </c>
      <c r="H19" s="155">
        <f>12*(H14+H15)/Assumptions!I21</f>
        <v>22920.231717568393</v>
      </c>
    </row>
    <row r="20" spans="1:8" ht="15" customHeight="1" x14ac:dyDescent="0.25">
      <c r="A20" s="153">
        <f t="shared" si="0"/>
        <v>7</v>
      </c>
      <c r="B20" s="174" t="s">
        <v>194</v>
      </c>
      <c r="C20" s="154">
        <f>SUM('Macro Light -Time Line'!E26:H26)</f>
        <v>21750</v>
      </c>
      <c r="D20" s="154">
        <f>SUM('Macro Light -Time Line'!I26:L26)</f>
        <v>34500</v>
      </c>
      <c r="E20" s="154">
        <f>SUM('Macro Light -Time Line'!M26:P26)</f>
        <v>61620</v>
      </c>
      <c r="F20" s="154">
        <f>SUM('Macro Light -Time Line'!Q26:T26)</f>
        <v>107842.5</v>
      </c>
      <c r="G20" s="154">
        <f>SUM('Macro Light -Time Line'!U26:X26)</f>
        <v>171290.25</v>
      </c>
      <c r="H20" s="155">
        <f>4*'Macro Light -Time Line'!H26</f>
        <v>27600</v>
      </c>
    </row>
    <row r="21" spans="1:8" ht="30" customHeight="1" x14ac:dyDescent="0.25">
      <c r="A21" s="153">
        <f t="shared" si="0"/>
        <v>8</v>
      </c>
      <c r="B21" s="174" t="s">
        <v>195</v>
      </c>
      <c r="C21" s="154">
        <f>SUM('Macro Light -Time Line'!E35:H35)</f>
        <v>17548</v>
      </c>
      <c r="D21" s="154">
        <f>SUM('Macro Light -Time Line'!I35:L35)</f>
        <v>32845</v>
      </c>
      <c r="E21" s="154">
        <f>SUM('Macro Light -Time Line'!M35:P35)</f>
        <v>62791.272727272721</v>
      </c>
      <c r="F21" s="154">
        <f>SUM('Macro Light -Time Line'!Q35:T35)</f>
        <v>124022.40909090909</v>
      </c>
      <c r="G21" s="154">
        <f>SUM('Macro Light -Time Line'!U35:X35)</f>
        <v>248014.96818181817</v>
      </c>
      <c r="H21" s="154">
        <f>'Macro Light -Time Line'!D31</f>
        <v>20396</v>
      </c>
    </row>
    <row r="22" spans="1:8" ht="4.05" customHeight="1" x14ac:dyDescent="0.25">
      <c r="A22" s="153"/>
      <c r="B22" s="175"/>
      <c r="C22" s="176"/>
      <c r="D22" s="154"/>
      <c r="E22" s="154"/>
      <c r="F22" s="154"/>
      <c r="G22" s="154"/>
      <c r="H22" s="154"/>
    </row>
    <row r="23" spans="1:8" ht="15" customHeight="1" x14ac:dyDescent="0.25">
      <c r="A23" s="153">
        <v>9</v>
      </c>
      <c r="B23" s="163" t="s">
        <v>200</v>
      </c>
      <c r="C23" s="155">
        <f t="shared" ref="C23:H23" si="1">C19+C20+C21</f>
        <v>60942.943032463983</v>
      </c>
      <c r="D23" s="155">
        <f t="shared" si="1"/>
        <v>107350.29997725549</v>
      </c>
      <c r="E23" s="155">
        <f t="shared" si="1"/>
        <v>198759.27188302187</v>
      </c>
      <c r="F23" s="155">
        <f t="shared" si="1"/>
        <v>372542.80842288549</v>
      </c>
      <c r="G23" s="155">
        <f t="shared" si="1"/>
        <v>637822.32002607093</v>
      </c>
      <c r="H23" s="155">
        <f t="shared" si="1"/>
        <v>70916.231717568386</v>
      </c>
    </row>
    <row r="24" spans="1:8" x14ac:dyDescent="0.25">
      <c r="A24" s="153"/>
      <c r="B24" s="160"/>
      <c r="C24" s="153"/>
      <c r="D24" s="153"/>
      <c r="E24" s="153"/>
      <c r="F24" s="153"/>
      <c r="H24" s="153"/>
    </row>
    <row r="25" spans="1:8" ht="15" customHeight="1" x14ac:dyDescent="0.25">
      <c r="A25" s="153">
        <v>10</v>
      </c>
      <c r="B25" s="163" t="s">
        <v>37</v>
      </c>
      <c r="C25" s="169">
        <f t="shared" ref="C25:H25" si="2">C11-C23</f>
        <v>33998.056967536017</v>
      </c>
      <c r="D25" s="169">
        <f t="shared" si="2"/>
        <v>130002.20002274451</v>
      </c>
      <c r="E25" s="169">
        <f t="shared" si="2"/>
        <v>235667.72811697813</v>
      </c>
      <c r="F25" s="169">
        <f t="shared" si="2"/>
        <v>490557.19157711451</v>
      </c>
      <c r="G25" s="169">
        <f t="shared" si="2"/>
        <v>1088377.6799739292</v>
      </c>
      <c r="H25" s="169">
        <f t="shared" si="2"/>
        <v>55671.768282431614</v>
      </c>
    </row>
    <row r="26" spans="1:8" ht="15" customHeight="1" x14ac:dyDescent="0.25">
      <c r="A26" s="153">
        <v>11</v>
      </c>
      <c r="B26" s="163" t="s">
        <v>38</v>
      </c>
      <c r="C26" s="177">
        <f t="shared" ref="C26:H26" si="3">C25/C11</f>
        <v>0.3580966807547426</v>
      </c>
      <c r="D26" s="177">
        <f t="shared" si="3"/>
        <v>0.54771784591586148</v>
      </c>
      <c r="E26" s="177">
        <f t="shared" si="3"/>
        <v>0.54247946862643925</v>
      </c>
      <c r="F26" s="177">
        <f t="shared" si="3"/>
        <v>0.56836657580479033</v>
      </c>
      <c r="G26" s="177">
        <f t="shared" si="3"/>
        <v>0.63050497044023246</v>
      </c>
      <c r="H26" s="177">
        <f t="shared" si="3"/>
        <v>0.4397870910546941</v>
      </c>
    </row>
    <row r="27" spans="1:8" hidden="1" x14ac:dyDescent="0.25">
      <c r="A27" s="153">
        <f t="shared" si="0"/>
        <v>12</v>
      </c>
      <c r="B27" s="156"/>
      <c r="C27" s="156"/>
      <c r="D27" s="156"/>
      <c r="E27" s="156"/>
      <c r="F27" s="156"/>
      <c r="H27" s="153"/>
    </row>
    <row r="28" spans="1:8" ht="14.4" hidden="1" x14ac:dyDescent="0.25">
      <c r="A28" s="153">
        <f t="shared" si="0"/>
        <v>13</v>
      </c>
      <c r="B28" s="178" t="s">
        <v>93</v>
      </c>
      <c r="C28" s="162" t="s">
        <v>101</v>
      </c>
      <c r="D28" s="153" t="s">
        <v>126</v>
      </c>
      <c r="E28" s="179" t="s">
        <v>101</v>
      </c>
      <c r="F28" s="179" t="s">
        <v>101</v>
      </c>
      <c r="G28" s="179" t="s">
        <v>101</v>
      </c>
      <c r="H28" s="153" t="s">
        <v>117</v>
      </c>
    </row>
    <row r="29" spans="1:8" hidden="1" x14ac:dyDescent="0.25">
      <c r="A29" s="153">
        <f t="shared" si="0"/>
        <v>14</v>
      </c>
      <c r="B29" s="156"/>
      <c r="C29" s="180"/>
      <c r="D29" s="156"/>
      <c r="E29" s="156"/>
      <c r="F29" s="156"/>
      <c r="H29" s="153"/>
    </row>
    <row r="30" spans="1:8" ht="15.6" hidden="1" x14ac:dyDescent="0.25">
      <c r="A30" s="153">
        <f t="shared" si="0"/>
        <v>15</v>
      </c>
      <c r="B30" s="181" t="s">
        <v>99</v>
      </c>
      <c r="C30" s="153">
        <v>84</v>
      </c>
      <c r="D30" s="156"/>
      <c r="E30" s="156"/>
      <c r="F30" s="156"/>
      <c r="H30" s="153"/>
    </row>
    <row r="31" spans="1:8" ht="15" customHeight="1" x14ac:dyDescent="0.25">
      <c r="A31" s="153"/>
      <c r="B31" s="159" t="s">
        <v>198</v>
      </c>
      <c r="C31" s="159"/>
      <c r="D31" s="156"/>
      <c r="E31" s="156"/>
      <c r="F31" s="156"/>
      <c r="H31" s="156"/>
    </row>
    <row r="32" spans="1:8" x14ac:dyDescent="0.25">
      <c r="A32" s="182"/>
      <c r="B32" s="183"/>
      <c r="C32" s="182"/>
    </row>
    <row r="33" spans="1:5" x14ac:dyDescent="0.25">
      <c r="A33" s="182"/>
      <c r="E33" s="184"/>
    </row>
    <row r="34" spans="1:5" x14ac:dyDescent="0.25">
      <c r="A34" s="182"/>
      <c r="E34" s="184"/>
    </row>
    <row r="35" spans="1:5" x14ac:dyDescent="0.25">
      <c r="A35" s="182"/>
      <c r="E35" s="184"/>
    </row>
    <row r="36" spans="1:5" x14ac:dyDescent="0.25">
      <c r="A36" s="182"/>
      <c r="D36" s="185"/>
      <c r="E36" s="184"/>
    </row>
  </sheetData>
  <sheetProtection algorithmName="SHA-512" hashValue="9slO5rGbR2WYYpZz7S3QMEuX+wby7CMLSrG502WZKLJUYrDKvcKtYHRG+uM+syQ0eH+t+Y2U7oBj6hNamEnhiw==" saltValue="linFISLjuD8TWmRtw9SdmA==" spinCount="100000" sheet="1" selectLockedCells="1"/>
  <pageMargins left="0.75" right="0.75" top="1" bottom="1" header="0.5" footer="0.5"/>
  <pageSetup scale="65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2"/>
  <sheetViews>
    <sheetView workbookViewId="0">
      <selection activeCell="A2" sqref="A2"/>
    </sheetView>
  </sheetViews>
  <sheetFormatPr defaultColWidth="9.109375" defaultRowHeight="13.2" x14ac:dyDescent="0.25"/>
  <cols>
    <col min="1" max="1" width="79.33203125" style="6" customWidth="1"/>
    <col min="2" max="3" width="15.6640625" style="6" customWidth="1"/>
    <col min="4" max="4" width="14.109375" style="6" customWidth="1"/>
    <col min="5" max="16384" width="9.109375" style="6"/>
  </cols>
  <sheetData>
    <row r="1" spans="1:3" ht="18" x14ac:dyDescent="0.35">
      <c r="A1" s="7" t="s">
        <v>39</v>
      </c>
      <c r="B1"/>
      <c r="C1"/>
    </row>
    <row r="2" spans="1:3" x14ac:dyDescent="0.25">
      <c r="A2" s="9" t="s">
        <v>192</v>
      </c>
      <c r="B2"/>
      <c r="C2"/>
    </row>
    <row r="3" spans="1:3" ht="12.75" customHeight="1" x14ac:dyDescent="0.25">
      <c r="A3"/>
      <c r="B3" s="207"/>
      <c r="C3" s="207"/>
    </row>
    <row r="4" spans="1:3" x14ac:dyDescent="0.25">
      <c r="A4"/>
      <c r="B4" s="208" t="s">
        <v>27</v>
      </c>
      <c r="C4" s="208" t="s">
        <v>29</v>
      </c>
    </row>
    <row r="5" spans="1:3" ht="14.4" x14ac:dyDescent="0.3">
      <c r="A5" s="12" t="s">
        <v>0</v>
      </c>
      <c r="B5" s="208"/>
      <c r="C5" s="208"/>
    </row>
    <row r="6" spans="1:3" x14ac:dyDescent="0.25">
      <c r="A6" s="103" t="s">
        <v>143</v>
      </c>
      <c r="B6" s="1"/>
      <c r="C6" s="31">
        <v>65</v>
      </c>
    </row>
    <row r="7" spans="1:3" x14ac:dyDescent="0.25">
      <c r="A7" s="103" t="s">
        <v>111</v>
      </c>
      <c r="B7" s="3">
        <f>C6/2*B9</f>
        <v>3367</v>
      </c>
      <c r="C7"/>
    </row>
    <row r="8" spans="1:3" x14ac:dyDescent="0.25">
      <c r="A8" s="103" t="s">
        <v>112</v>
      </c>
      <c r="B8" s="3"/>
      <c r="C8" s="119">
        <f>C9*C6</f>
        <v>6734</v>
      </c>
    </row>
    <row r="9" spans="1:3" x14ac:dyDescent="0.25">
      <c r="A9" s="104" t="s">
        <v>1</v>
      </c>
      <c r="B9" s="2">
        <f>C9</f>
        <v>103.6</v>
      </c>
      <c r="C9" s="105">
        <f>Assumptions!E57</f>
        <v>103.6</v>
      </c>
    </row>
    <row r="10" spans="1:3" x14ac:dyDescent="0.25">
      <c r="A10" s="103" t="s">
        <v>110</v>
      </c>
      <c r="B10" s="106">
        <f>78*(C6/12)*C9</f>
        <v>43771</v>
      </c>
      <c r="C10" s="11">
        <f>C8*12</f>
        <v>80808</v>
      </c>
    </row>
    <row r="11" spans="1:3" x14ac:dyDescent="0.25">
      <c r="A11" s="104"/>
      <c r="B11" s="1"/>
      <c r="C11"/>
    </row>
    <row r="12" spans="1:3" x14ac:dyDescent="0.25">
      <c r="A12" s="107" t="s">
        <v>28</v>
      </c>
      <c r="B12" s="1"/>
      <c r="C12"/>
    </row>
    <row r="13" spans="1:3" x14ac:dyDescent="0.25">
      <c r="A13" s="104" t="s">
        <v>26</v>
      </c>
      <c r="B13" s="3">
        <f>Assumptions!I8</f>
        <v>28707</v>
      </c>
      <c r="C13" s="3">
        <f>B13</f>
        <v>28707</v>
      </c>
    </row>
    <row r="14" spans="1:3" x14ac:dyDescent="0.25">
      <c r="A14" s="108" t="s">
        <v>94</v>
      </c>
      <c r="B14" s="3">
        <f>(C6/4)*Assumptions!F167</f>
        <v>6078.8</v>
      </c>
      <c r="C14"/>
    </row>
    <row r="15" spans="1:3" x14ac:dyDescent="0.25">
      <c r="A15" s="103" t="s">
        <v>113</v>
      </c>
      <c r="B15" s="3"/>
      <c r="C15" s="3">
        <f>C6*Assumptions!$F$167</f>
        <v>24315.200000000001</v>
      </c>
    </row>
    <row r="16" spans="1:3" x14ac:dyDescent="0.25">
      <c r="A16" s="104"/>
      <c r="B16" s="1"/>
      <c r="C16"/>
    </row>
    <row r="17" spans="1:3" ht="14.4" x14ac:dyDescent="0.3">
      <c r="A17" s="12" t="s">
        <v>3</v>
      </c>
      <c r="B17" s="3"/>
      <c r="C17" s="120"/>
    </row>
    <row r="18" spans="1:3" x14ac:dyDescent="0.25">
      <c r="A18" s="104" t="s">
        <v>31</v>
      </c>
      <c r="B18" s="3">
        <f>12*B13/Assumptions!I21+10*(B14/Assumptions!I21)</f>
        <v>8217.4548660539876</v>
      </c>
      <c r="C18" s="3"/>
    </row>
    <row r="19" spans="1:3" x14ac:dyDescent="0.25">
      <c r="A19" s="104" t="s">
        <v>33</v>
      </c>
      <c r="B19" s="1"/>
      <c r="C19" s="3">
        <f>12*(B13+C15)/Assumptions!I21</f>
        <v>12901.18839886953</v>
      </c>
    </row>
    <row r="20" spans="1:3" x14ac:dyDescent="0.25">
      <c r="A20" s="109" t="s">
        <v>95</v>
      </c>
      <c r="B20" s="3">
        <f>12*Assumptions!I24</f>
        <v>7800</v>
      </c>
      <c r="C20" s="3">
        <f>B20</f>
        <v>7800</v>
      </c>
    </row>
    <row r="21" spans="1:3" x14ac:dyDescent="0.25">
      <c r="A21" s="111" t="s">
        <v>114</v>
      </c>
      <c r="B21" s="3">
        <f>78*(C6/12)*Assumptions!E116</f>
        <v>8619</v>
      </c>
      <c r="C21" s="121"/>
    </row>
    <row r="22" spans="1:3" x14ac:dyDescent="0.25">
      <c r="A22" s="109" t="s">
        <v>96</v>
      </c>
      <c r="B22" s="1"/>
      <c r="C22" s="121">
        <f>12*C6*Assumptions!E116</f>
        <v>15911.999999999998</v>
      </c>
    </row>
    <row r="23" spans="1:3" ht="14.4" x14ac:dyDescent="0.3">
      <c r="A23" s="12" t="s">
        <v>32</v>
      </c>
      <c r="B23" s="3">
        <f>SUM(B18:B22)</f>
        <v>24636.454866053988</v>
      </c>
      <c r="C23" s="3">
        <f>SUM(C18:C22)</f>
        <v>36613.188398869526</v>
      </c>
    </row>
    <row r="24" spans="1:3" x14ac:dyDescent="0.25">
      <c r="A24" s="104"/>
      <c r="B24" s="1"/>
      <c r="C24"/>
    </row>
    <row r="25" spans="1:3" ht="14.4" x14ac:dyDescent="0.3">
      <c r="A25" s="12" t="s">
        <v>37</v>
      </c>
      <c r="B25" s="106">
        <f>B10-B23</f>
        <v>19134.545133946012</v>
      </c>
      <c r="C25" s="106">
        <f>C10-C23</f>
        <v>44194.811601130474</v>
      </c>
    </row>
    <row r="26" spans="1:3" ht="14.4" x14ac:dyDescent="0.3">
      <c r="A26" s="12" t="s">
        <v>38</v>
      </c>
      <c r="B26" s="112">
        <f>B25/B10</f>
        <v>0.4371511990575041</v>
      </c>
      <c r="C26" s="112">
        <f>C25/C10</f>
        <v>0.54691134047533008</v>
      </c>
    </row>
    <row r="27" spans="1:3" x14ac:dyDescent="0.25">
      <c r="A27"/>
      <c r="B27"/>
      <c r="C27"/>
    </row>
    <row r="28" spans="1:3" ht="14.4" x14ac:dyDescent="0.3">
      <c r="A28" s="12" t="s">
        <v>42</v>
      </c>
      <c r="B28"/>
      <c r="C28" s="115">
        <v>15</v>
      </c>
    </row>
    <row r="29" spans="1:3" ht="14.4" x14ac:dyDescent="0.3">
      <c r="A29" s="8"/>
    </row>
    <row r="30" spans="1:3" x14ac:dyDescent="0.25">
      <c r="A30"/>
    </row>
    <row r="31" spans="1:3" ht="14.4" x14ac:dyDescent="0.3">
      <c r="A31" s="8"/>
    </row>
    <row r="32" spans="1:3" ht="14.4" x14ac:dyDescent="0.3">
      <c r="A32" s="8"/>
    </row>
  </sheetData>
  <sheetProtection selectLockedCells="1"/>
  <mergeCells count="3">
    <mergeCell ref="B3:C3"/>
    <mergeCell ref="B4:B5"/>
    <mergeCell ref="C4:C5"/>
  </mergeCells>
  <pageMargins left="0.75" right="0.75" top="1" bottom="1" header="0.5" footer="0.5"/>
  <pageSetup scale="72" orientation="portrait" verticalDpi="429496729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32"/>
  <sheetViews>
    <sheetView workbookViewId="0">
      <selection activeCell="C6" sqref="C6"/>
    </sheetView>
  </sheetViews>
  <sheetFormatPr defaultColWidth="9.109375" defaultRowHeight="13.2" x14ac:dyDescent="0.25"/>
  <cols>
    <col min="1" max="1" width="79.33203125" style="6" customWidth="1"/>
    <col min="2" max="3" width="15.6640625" style="6" customWidth="1"/>
    <col min="4" max="4" width="14.109375" style="6" customWidth="1"/>
    <col min="5" max="16384" width="9.109375" style="6"/>
  </cols>
  <sheetData>
    <row r="1" spans="1:3" ht="18" x14ac:dyDescent="0.35">
      <c r="A1" s="7" t="s">
        <v>39</v>
      </c>
      <c r="B1"/>
      <c r="C1"/>
    </row>
    <row r="2" spans="1:3" x14ac:dyDescent="0.25">
      <c r="A2" s="9" t="s">
        <v>35</v>
      </c>
      <c r="B2"/>
      <c r="C2"/>
    </row>
    <row r="3" spans="1:3" ht="12.75" customHeight="1" x14ac:dyDescent="0.25">
      <c r="A3"/>
      <c r="B3" s="207"/>
      <c r="C3" s="207"/>
    </row>
    <row r="4" spans="1:3" x14ac:dyDescent="0.25">
      <c r="A4"/>
      <c r="B4" s="208" t="s">
        <v>27</v>
      </c>
      <c r="C4" s="208" t="s">
        <v>29</v>
      </c>
    </row>
    <row r="5" spans="1:3" ht="14.4" x14ac:dyDescent="0.3">
      <c r="A5" s="12" t="s">
        <v>0</v>
      </c>
      <c r="B5" s="208"/>
      <c r="C5" s="208"/>
    </row>
    <row r="6" spans="1:3" x14ac:dyDescent="0.25">
      <c r="A6" s="103" t="s">
        <v>109</v>
      </c>
      <c r="B6" s="1"/>
      <c r="C6" s="31">
        <v>50</v>
      </c>
    </row>
    <row r="7" spans="1:3" x14ac:dyDescent="0.25">
      <c r="A7" s="103" t="s">
        <v>111</v>
      </c>
      <c r="B7" s="3">
        <f>C6/2*B9</f>
        <v>2590</v>
      </c>
      <c r="C7"/>
    </row>
    <row r="8" spans="1:3" x14ac:dyDescent="0.25">
      <c r="A8" s="103" t="s">
        <v>112</v>
      </c>
      <c r="B8" s="3"/>
      <c r="C8" s="119">
        <f>C9*C6</f>
        <v>5180</v>
      </c>
    </row>
    <row r="9" spans="1:3" x14ac:dyDescent="0.25">
      <c r="A9" s="104" t="s">
        <v>1</v>
      </c>
      <c r="B9" s="2">
        <f>C9</f>
        <v>103.6</v>
      </c>
      <c r="C9" s="105">
        <f>Assumptions!E57</f>
        <v>103.6</v>
      </c>
    </row>
    <row r="10" spans="1:3" x14ac:dyDescent="0.25">
      <c r="A10" s="103" t="s">
        <v>110</v>
      </c>
      <c r="B10" s="106">
        <f>78*(C6/12)*C9</f>
        <v>33670</v>
      </c>
      <c r="C10" s="11">
        <f>C8*12</f>
        <v>62160</v>
      </c>
    </row>
    <row r="11" spans="1:3" x14ac:dyDescent="0.25">
      <c r="A11" s="104"/>
      <c r="B11" s="1"/>
      <c r="C11"/>
    </row>
    <row r="12" spans="1:3" x14ac:dyDescent="0.25">
      <c r="A12" s="107" t="s">
        <v>28</v>
      </c>
      <c r="B12" s="1"/>
      <c r="C12"/>
    </row>
    <row r="13" spans="1:3" x14ac:dyDescent="0.25">
      <c r="A13" s="104" t="s">
        <v>26</v>
      </c>
      <c r="B13" s="3">
        <f>Assumptions!I9</f>
        <v>16290</v>
      </c>
      <c r="C13" s="122">
        <f>Assumptions!I9</f>
        <v>16290</v>
      </c>
    </row>
    <row r="14" spans="1:3" x14ac:dyDescent="0.25">
      <c r="A14" s="108" t="s">
        <v>94</v>
      </c>
      <c r="B14" s="3">
        <f>(C6/4)*Assumptions!F167</f>
        <v>4676</v>
      </c>
      <c r="C14"/>
    </row>
    <row r="15" spans="1:3" x14ac:dyDescent="0.25">
      <c r="A15" s="103" t="s">
        <v>113</v>
      </c>
      <c r="B15" s="3"/>
      <c r="C15" s="3">
        <f>C6*Assumptions!$F$167</f>
        <v>18704</v>
      </c>
    </row>
    <row r="16" spans="1:3" x14ac:dyDescent="0.25">
      <c r="A16" s="104"/>
      <c r="B16" s="1"/>
      <c r="C16"/>
    </row>
    <row r="17" spans="1:3" ht="14.4" x14ac:dyDescent="0.3">
      <c r="A17" s="12" t="s">
        <v>3</v>
      </c>
      <c r="B17" s="3"/>
      <c r="C17" s="120"/>
    </row>
    <row r="18" spans="1:3" x14ac:dyDescent="0.25">
      <c r="A18" s="104" t="s">
        <v>31</v>
      </c>
      <c r="B18" s="3">
        <f>12*B13/Assumptions!I21+10*(B14/Assumptions!I21)</f>
        <v>4911.7537524253294</v>
      </c>
      <c r="C18" s="3"/>
    </row>
    <row r="19" spans="1:3" x14ac:dyDescent="0.25">
      <c r="A19" s="104" t="s">
        <v>33</v>
      </c>
      <c r="B19" s="1"/>
      <c r="C19" s="3">
        <f>12*(B13+C15)/Assumptions!I21</f>
        <v>8514.6257007449785</v>
      </c>
    </row>
    <row r="20" spans="1:3" x14ac:dyDescent="0.25">
      <c r="A20" s="109" t="s">
        <v>95</v>
      </c>
      <c r="B20" s="3">
        <f>12*Assumptions!I25</f>
        <v>3000</v>
      </c>
      <c r="C20" s="3">
        <f>B20</f>
        <v>3000</v>
      </c>
    </row>
    <row r="21" spans="1:3" x14ac:dyDescent="0.25">
      <c r="A21" s="111" t="s">
        <v>114</v>
      </c>
      <c r="B21" s="3">
        <f>78*(C6/12)*Assumptions!E116</f>
        <v>6629.9999999999991</v>
      </c>
      <c r="C21" s="121"/>
    </row>
    <row r="22" spans="1:3" x14ac:dyDescent="0.25">
      <c r="A22" s="109" t="s">
        <v>96</v>
      </c>
      <c r="B22" s="1"/>
      <c r="C22" s="121">
        <f>12*C6*Assumptions!E116</f>
        <v>12240</v>
      </c>
    </row>
    <row r="23" spans="1:3" ht="14.4" x14ac:dyDescent="0.3">
      <c r="A23" s="12" t="s">
        <v>32</v>
      </c>
      <c r="B23" s="3">
        <f>SUM(B18:B22)</f>
        <v>14541.753752425328</v>
      </c>
      <c r="C23" s="3">
        <f>SUM(C18:C22)</f>
        <v>23754.625700744979</v>
      </c>
    </row>
    <row r="24" spans="1:3" x14ac:dyDescent="0.25">
      <c r="A24" s="104"/>
      <c r="B24" s="1"/>
      <c r="C24"/>
    </row>
    <row r="25" spans="1:3" ht="14.4" x14ac:dyDescent="0.3">
      <c r="A25" s="12" t="s">
        <v>37</v>
      </c>
      <c r="B25" s="106">
        <f>B10-B23</f>
        <v>19128.246247574672</v>
      </c>
      <c r="C25" s="106">
        <f>C10-C23</f>
        <v>38405.374299255025</v>
      </c>
    </row>
    <row r="26" spans="1:3" ht="14.4" x14ac:dyDescent="0.3">
      <c r="A26" s="12" t="s">
        <v>38</v>
      </c>
      <c r="B26" s="112">
        <f>B25/B10</f>
        <v>0.56810948166244946</v>
      </c>
      <c r="C26" s="112">
        <f>C25/C10</f>
        <v>0.61784707688634211</v>
      </c>
    </row>
    <row r="27" spans="1:3" x14ac:dyDescent="0.25">
      <c r="A27"/>
      <c r="B27"/>
      <c r="C27"/>
    </row>
    <row r="28" spans="1:3" ht="14.4" x14ac:dyDescent="0.3">
      <c r="A28" s="12" t="s">
        <v>42</v>
      </c>
      <c r="B28"/>
      <c r="C28" s="115">
        <v>10</v>
      </c>
    </row>
    <row r="29" spans="1:3" ht="14.4" x14ac:dyDescent="0.3">
      <c r="A29" s="8"/>
    </row>
    <row r="30" spans="1:3" x14ac:dyDescent="0.25">
      <c r="A30"/>
    </row>
    <row r="31" spans="1:3" ht="14.4" x14ac:dyDescent="0.3">
      <c r="A31" s="8"/>
    </row>
    <row r="32" spans="1:3" ht="14.4" x14ac:dyDescent="0.3">
      <c r="A32" s="8"/>
    </row>
  </sheetData>
  <sheetProtection selectLockedCells="1"/>
  <mergeCells count="3">
    <mergeCell ref="B3:C3"/>
    <mergeCell ref="C4:C5"/>
    <mergeCell ref="B4:B5"/>
  </mergeCells>
  <phoneticPr fontId="4" type="noConversion"/>
  <pageMargins left="0.75" right="0.75" top="1" bottom="1" header="0.5" footer="0.5"/>
  <pageSetup scale="72" orientation="portrait" verticalDpi="429496729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188"/>
  <sheetViews>
    <sheetView topLeftCell="A126" zoomScale="75" zoomScaleNormal="75" zoomScalePageLayoutView="75" workbookViewId="0">
      <selection activeCell="E144" sqref="E144"/>
    </sheetView>
  </sheetViews>
  <sheetFormatPr defaultColWidth="8.77734375" defaultRowHeight="13.2" x14ac:dyDescent="0.25"/>
  <cols>
    <col min="1" max="1" width="8.77734375" style="37"/>
    <col min="2" max="2" width="21" style="37" customWidth="1"/>
    <col min="3" max="4" width="10.6640625" style="37" customWidth="1"/>
    <col min="5" max="5" width="10.33203125" style="37" customWidth="1"/>
    <col min="6" max="6" width="11.44140625" style="37" customWidth="1"/>
    <col min="7" max="7" width="13.33203125" style="37" customWidth="1"/>
    <col min="8" max="8" width="8.77734375" style="37"/>
    <col min="9" max="9" width="14" style="37" customWidth="1"/>
    <col min="10" max="10" width="9.44140625" style="37" customWidth="1"/>
    <col min="11" max="11" width="9.109375" style="37" customWidth="1"/>
    <col min="12" max="12" width="12" style="37" customWidth="1"/>
    <col min="13" max="13" width="14.109375" style="37" customWidth="1"/>
    <col min="14" max="14" width="11.77734375" style="37" customWidth="1"/>
    <col min="15" max="15" width="18.44140625" style="37" customWidth="1"/>
    <col min="16" max="16" width="12.44140625" style="37" customWidth="1"/>
    <col min="17" max="17" width="22" style="37" customWidth="1"/>
    <col min="18" max="18" width="13.77734375" style="37" customWidth="1"/>
    <col min="19" max="19" width="14.77734375" style="37" customWidth="1"/>
    <col min="20" max="20" width="13.44140625" style="37" customWidth="1"/>
    <col min="21" max="21" width="12.109375" style="37" customWidth="1"/>
    <col min="22" max="22" width="12.33203125" style="37" customWidth="1"/>
    <col min="23" max="23" width="14.109375" style="37" customWidth="1"/>
    <col min="24" max="16384" width="8.77734375" style="37"/>
  </cols>
  <sheetData>
    <row r="1" spans="1:18" ht="15.6" x14ac:dyDescent="0.3">
      <c r="A1" s="36" t="s">
        <v>40</v>
      </c>
      <c r="K1" s="38" t="s">
        <v>129</v>
      </c>
    </row>
    <row r="3" spans="1:18" ht="12.75" customHeight="1" x14ac:dyDescent="0.25">
      <c r="B3" s="212" t="s">
        <v>41</v>
      </c>
      <c r="C3" s="212"/>
      <c r="D3" s="212"/>
      <c r="E3" s="212"/>
      <c r="F3" s="212"/>
      <c r="G3" s="212"/>
      <c r="H3" s="212"/>
      <c r="I3" s="39"/>
      <c r="L3" s="37" t="s">
        <v>45</v>
      </c>
      <c r="M3" s="37" t="s">
        <v>46</v>
      </c>
      <c r="N3" s="38" t="s">
        <v>131</v>
      </c>
    </row>
    <row r="4" spans="1:18" x14ac:dyDescent="0.25">
      <c r="B4" s="212"/>
      <c r="C4" s="212"/>
      <c r="D4" s="212"/>
      <c r="E4" s="212"/>
      <c r="F4" s="212"/>
      <c r="G4" s="212"/>
      <c r="H4" s="212"/>
      <c r="I4" s="39"/>
      <c r="L4" s="37">
        <v>50</v>
      </c>
      <c r="M4" s="40">
        <v>1200</v>
      </c>
    </row>
    <row r="5" spans="1:18" x14ac:dyDescent="0.25">
      <c r="B5" s="39"/>
      <c r="C5" s="39"/>
      <c r="D5" s="39"/>
      <c r="E5" s="39"/>
      <c r="F5" s="39"/>
      <c r="G5" s="39"/>
      <c r="H5" s="39"/>
      <c r="I5" s="39"/>
      <c r="L5" s="37">
        <v>100</v>
      </c>
      <c r="M5" s="40">
        <v>1000</v>
      </c>
    </row>
    <row r="6" spans="1:18" x14ac:dyDescent="0.25">
      <c r="B6" s="215" t="s">
        <v>201</v>
      </c>
      <c r="C6" s="214"/>
      <c r="D6" s="214"/>
      <c r="E6" s="214"/>
      <c r="F6" s="214"/>
      <c r="G6" s="214"/>
      <c r="I6" s="41">
        <v>62780</v>
      </c>
      <c r="L6" s="37">
        <v>200</v>
      </c>
      <c r="M6" s="40">
        <v>1500</v>
      </c>
      <c r="N6" s="40">
        <v>365</v>
      </c>
    </row>
    <row r="7" spans="1:18" x14ac:dyDescent="0.25">
      <c r="B7" s="203" t="s">
        <v>171</v>
      </c>
      <c r="C7" s="204"/>
      <c r="D7" s="204"/>
      <c r="E7" s="204"/>
      <c r="F7" s="204"/>
      <c r="G7" s="204"/>
      <c r="H7" s="205"/>
      <c r="I7" s="206">
        <f>61010-J7</f>
        <v>48510</v>
      </c>
      <c r="J7" s="41">
        <v>12500</v>
      </c>
      <c r="L7" s="37">
        <v>500</v>
      </c>
      <c r="M7" s="37">
        <f>((L7-L6)/100)*$N$6+M6</f>
        <v>2595</v>
      </c>
      <c r="N7" s="37">
        <f>(M7-M6)/300</f>
        <v>3.65</v>
      </c>
      <c r="O7" s="38" t="s">
        <v>132</v>
      </c>
    </row>
    <row r="8" spans="1:18" x14ac:dyDescent="0.25">
      <c r="B8" s="42" t="s">
        <v>144</v>
      </c>
      <c r="C8" s="43"/>
      <c r="D8" s="43"/>
      <c r="E8" s="43"/>
      <c r="F8" s="43"/>
      <c r="G8" s="43"/>
      <c r="I8" s="41">
        <v>28707</v>
      </c>
      <c r="L8" s="37">
        <v>1000</v>
      </c>
      <c r="M8" s="37">
        <f>((L8-L7)/100)*$N$6+M7</f>
        <v>4420</v>
      </c>
      <c r="N8" s="37">
        <f>(M8-M7)/500</f>
        <v>3.65</v>
      </c>
    </row>
    <row r="9" spans="1:18" x14ac:dyDescent="0.25">
      <c r="B9" s="42" t="s">
        <v>145</v>
      </c>
      <c r="C9" s="43"/>
      <c r="D9" s="43"/>
      <c r="E9" s="43"/>
      <c r="F9" s="43"/>
      <c r="G9" s="43"/>
      <c r="I9" s="41">
        <v>16290</v>
      </c>
    </row>
    <row r="10" spans="1:18" x14ac:dyDescent="0.25">
      <c r="B10" s="91" t="s">
        <v>179</v>
      </c>
      <c r="C10" s="43"/>
      <c r="D10" s="43"/>
      <c r="E10" s="43"/>
      <c r="F10" s="43"/>
      <c r="G10" s="43"/>
      <c r="I10" s="41">
        <v>18893</v>
      </c>
    </row>
    <row r="11" spans="1:18" x14ac:dyDescent="0.25">
      <c r="B11" s="91" t="s">
        <v>157</v>
      </c>
      <c r="C11" s="43"/>
      <c r="D11" s="43"/>
      <c r="E11" s="43"/>
      <c r="F11" s="43"/>
      <c r="G11" s="43"/>
      <c r="I11" s="41">
        <f>11304+29633</f>
        <v>40937</v>
      </c>
      <c r="K11" s="37" t="s">
        <v>47</v>
      </c>
      <c r="L11" s="37" t="s">
        <v>45</v>
      </c>
      <c r="M11" s="37" t="s">
        <v>46</v>
      </c>
      <c r="N11" s="38" t="s">
        <v>75</v>
      </c>
    </row>
    <row r="12" spans="1:18" x14ac:dyDescent="0.25">
      <c r="B12" s="216" t="s">
        <v>150</v>
      </c>
      <c r="C12" s="214"/>
      <c r="D12" s="214"/>
      <c r="E12" s="214"/>
      <c r="F12" s="214"/>
      <c r="G12" s="214"/>
      <c r="I12" s="44">
        <f>F167</f>
        <v>374.08</v>
      </c>
      <c r="K12" s="37">
        <v>0</v>
      </c>
      <c r="L12" s="40">
        <v>100</v>
      </c>
      <c r="M12" s="40">
        <f>$M$5</f>
        <v>1000</v>
      </c>
      <c r="N12" s="46">
        <f t="shared" ref="N12:N43" si="0">L12*$I$14</f>
        <v>199</v>
      </c>
    </row>
    <row r="13" spans="1:18" ht="12.75" customHeight="1" x14ac:dyDescent="0.25">
      <c r="B13" s="216" t="s">
        <v>151</v>
      </c>
      <c r="C13" s="214"/>
      <c r="D13" s="214"/>
      <c r="E13" s="214"/>
      <c r="F13" s="214"/>
      <c r="G13" s="214"/>
      <c r="I13" s="128">
        <v>346.13</v>
      </c>
      <c r="K13" s="37">
        <v>25</v>
      </c>
      <c r="L13" s="40">
        <v>100</v>
      </c>
      <c r="M13" s="40">
        <f t="shared" ref="M13:M15" si="1">$M$5</f>
        <v>1000</v>
      </c>
      <c r="N13" s="46">
        <f t="shared" si="0"/>
        <v>199</v>
      </c>
    </row>
    <row r="14" spans="1:18" x14ac:dyDescent="0.25">
      <c r="B14" s="213" t="s">
        <v>122</v>
      </c>
      <c r="C14" s="214"/>
      <c r="D14" s="214"/>
      <c r="E14" s="214"/>
      <c r="F14" s="214"/>
      <c r="G14" s="214"/>
      <c r="H14" s="45">
        <v>199</v>
      </c>
      <c r="I14" s="46">
        <f>H14/100</f>
        <v>1.99</v>
      </c>
      <c r="K14" s="37">
        <v>50</v>
      </c>
      <c r="L14" s="40">
        <v>100</v>
      </c>
      <c r="M14" s="40">
        <f t="shared" si="1"/>
        <v>1000</v>
      </c>
      <c r="N14" s="46">
        <f t="shared" si="0"/>
        <v>199</v>
      </c>
    </row>
    <row r="15" spans="1:18" x14ac:dyDescent="0.25">
      <c r="K15" s="37">
        <v>100</v>
      </c>
      <c r="L15" s="40">
        <v>100</v>
      </c>
      <c r="M15" s="40">
        <f t="shared" si="1"/>
        <v>1000</v>
      </c>
      <c r="N15" s="46">
        <f t="shared" si="0"/>
        <v>199</v>
      </c>
      <c r="P15" s="37">
        <f>(48*4+80*10+32*20)/10+(40*20)/7</f>
        <v>277.48571428571427</v>
      </c>
      <c r="Q15" s="37">
        <f>200/P15</f>
        <v>0.72075782537067545</v>
      </c>
    </row>
    <row r="16" spans="1:18" ht="12.75" customHeight="1" x14ac:dyDescent="0.25">
      <c r="B16" s="217" t="s">
        <v>163</v>
      </c>
      <c r="C16" s="217"/>
      <c r="D16" s="217"/>
      <c r="E16" s="217"/>
      <c r="F16" s="217"/>
      <c r="G16" s="217"/>
      <c r="I16" s="40">
        <v>200</v>
      </c>
      <c r="K16" s="37">
        <v>200</v>
      </c>
      <c r="L16" s="37">
        <v>200</v>
      </c>
      <c r="M16" s="37">
        <f>M6</f>
        <v>1500</v>
      </c>
      <c r="N16" s="46">
        <f t="shared" si="0"/>
        <v>398</v>
      </c>
      <c r="P16" s="219" t="s">
        <v>130</v>
      </c>
      <c r="Q16" s="219"/>
      <c r="R16" s="219"/>
    </row>
    <row r="17" spans="1:19" x14ac:dyDescent="0.25">
      <c r="B17" s="47"/>
      <c r="C17" s="47"/>
      <c r="D17" s="47"/>
      <c r="E17" s="47"/>
      <c r="F17" s="47"/>
      <c r="G17" s="47"/>
      <c r="K17" s="37">
        <v>300</v>
      </c>
      <c r="L17" s="37">
        <f>K17</f>
        <v>300</v>
      </c>
      <c r="M17" s="37">
        <f>M16+(L17-L16)*$N$7</f>
        <v>1865</v>
      </c>
      <c r="N17" s="46">
        <f t="shared" si="0"/>
        <v>597</v>
      </c>
      <c r="P17" s="219"/>
      <c r="Q17" s="219"/>
      <c r="R17" s="219"/>
    </row>
    <row r="18" spans="1:19" x14ac:dyDescent="0.25">
      <c r="B18" s="47"/>
      <c r="C18" s="47"/>
      <c r="D18" s="47"/>
      <c r="E18" s="47"/>
      <c r="F18" s="47"/>
      <c r="G18" s="47"/>
      <c r="K18" s="27">
        <v>400</v>
      </c>
      <c r="L18" s="40">
        <v>400</v>
      </c>
      <c r="M18" s="37">
        <f t="shared" ref="M18:M64" si="2">M17+(L18-L17)*$N$7</f>
        <v>2230</v>
      </c>
      <c r="N18" s="46">
        <f t="shared" si="0"/>
        <v>796</v>
      </c>
      <c r="P18" s="219"/>
      <c r="Q18" s="219"/>
      <c r="R18" s="219"/>
    </row>
    <row r="19" spans="1:19" ht="13.2" customHeight="1" x14ac:dyDescent="0.25">
      <c r="B19" s="217" t="s">
        <v>162</v>
      </c>
      <c r="C19" s="217"/>
      <c r="D19" s="217"/>
      <c r="E19" s="217"/>
      <c r="F19" s="217"/>
      <c r="G19" s="217"/>
      <c r="H19" s="48"/>
      <c r="I19" s="40">
        <v>132</v>
      </c>
      <c r="J19" s="49"/>
      <c r="K19" s="37">
        <v>500</v>
      </c>
      <c r="L19" s="37">
        <v>500</v>
      </c>
      <c r="M19" s="37">
        <f t="shared" si="2"/>
        <v>2595</v>
      </c>
      <c r="N19" s="46">
        <f t="shared" si="0"/>
        <v>995</v>
      </c>
      <c r="P19" s="38"/>
    </row>
    <row r="20" spans="1:19" x14ac:dyDescent="0.25">
      <c r="B20" s="92"/>
      <c r="C20" s="92"/>
      <c r="D20" s="92"/>
      <c r="E20" s="92"/>
      <c r="F20" s="92"/>
      <c r="G20" s="92"/>
      <c r="H20" s="48"/>
      <c r="I20" s="48"/>
      <c r="K20" s="37">
        <v>600</v>
      </c>
      <c r="L20" s="37">
        <f>K20-((K20-$K$19)/100)*$P$21</f>
        <v>595</v>
      </c>
      <c r="M20" s="37">
        <f t="shared" si="2"/>
        <v>2941.75</v>
      </c>
      <c r="N20" s="46">
        <f t="shared" si="0"/>
        <v>1184.05</v>
      </c>
      <c r="P20" s="38" t="s">
        <v>133</v>
      </c>
    </row>
    <row r="21" spans="1:19" x14ac:dyDescent="0.25">
      <c r="B21" s="217" t="s">
        <v>208</v>
      </c>
      <c r="C21" s="218"/>
      <c r="D21" s="218"/>
      <c r="E21" s="218"/>
      <c r="F21" s="218"/>
      <c r="G21" s="218"/>
      <c r="H21" s="218"/>
      <c r="I21" s="40">
        <f>R33</f>
        <v>49.318433335626111</v>
      </c>
      <c r="K21" s="37">
        <v>700</v>
      </c>
      <c r="L21" s="37">
        <f>K21-((K21-$K$19)/100)*$P$21</f>
        <v>690</v>
      </c>
      <c r="M21" s="37">
        <f t="shared" si="2"/>
        <v>3288.5</v>
      </c>
      <c r="N21" s="46">
        <f t="shared" si="0"/>
        <v>1373.1</v>
      </c>
      <c r="P21" s="52">
        <v>5</v>
      </c>
      <c r="Q21" s="38" t="s">
        <v>134</v>
      </c>
    </row>
    <row r="22" spans="1:19" x14ac:dyDescent="0.25">
      <c r="B22" s="218"/>
      <c r="C22" s="218"/>
      <c r="D22" s="218"/>
      <c r="E22" s="218"/>
      <c r="F22" s="218"/>
      <c r="G22" s="218"/>
      <c r="H22" s="218"/>
      <c r="I22" s="40"/>
      <c r="J22" s="38"/>
      <c r="K22" s="37">
        <v>800</v>
      </c>
      <c r="L22" s="37">
        <f t="shared" ref="L22:L64" si="3">K22-((K22-$K$19)/100)*$P$21</f>
        <v>785</v>
      </c>
      <c r="M22" s="37">
        <f t="shared" si="2"/>
        <v>3635.25</v>
      </c>
      <c r="N22" s="46">
        <f t="shared" si="0"/>
        <v>1562.15</v>
      </c>
    </row>
    <row r="23" spans="1:19" x14ac:dyDescent="0.25">
      <c r="B23" s="38" t="s">
        <v>97</v>
      </c>
      <c r="I23" s="50">
        <v>0.4</v>
      </c>
      <c r="K23" s="37">
        <v>900</v>
      </c>
      <c r="L23" s="37">
        <f t="shared" si="3"/>
        <v>880</v>
      </c>
      <c r="M23" s="37">
        <f t="shared" si="2"/>
        <v>3982</v>
      </c>
      <c r="N23" s="46">
        <f t="shared" si="0"/>
        <v>1751.2</v>
      </c>
    </row>
    <row r="24" spans="1:19" x14ac:dyDescent="0.25">
      <c r="B24" s="213" t="s">
        <v>128</v>
      </c>
      <c r="C24" s="214"/>
      <c r="D24" s="214"/>
      <c r="E24" s="214"/>
      <c r="F24" s="214"/>
      <c r="G24" s="214"/>
      <c r="I24" s="51">
        <v>650</v>
      </c>
      <c r="J24" s="53"/>
      <c r="K24" s="37">
        <v>1000</v>
      </c>
      <c r="L24" s="37">
        <f t="shared" si="3"/>
        <v>975</v>
      </c>
      <c r="M24" s="37">
        <f t="shared" si="2"/>
        <v>4328.75</v>
      </c>
      <c r="N24" s="46">
        <f t="shared" si="0"/>
        <v>1940.25</v>
      </c>
      <c r="P24" s="189"/>
      <c r="Q24" s="190" t="s">
        <v>209</v>
      </c>
      <c r="R24" s="191"/>
      <c r="S24" s="192"/>
    </row>
    <row r="25" spans="1:19" x14ac:dyDescent="0.25">
      <c r="B25" s="37" t="s">
        <v>34</v>
      </c>
      <c r="I25" s="51">
        <v>250</v>
      </c>
      <c r="K25" s="37">
        <v>1100</v>
      </c>
      <c r="L25" s="37">
        <f t="shared" si="3"/>
        <v>1070</v>
      </c>
      <c r="M25" s="37">
        <f t="shared" si="2"/>
        <v>4675.5</v>
      </c>
      <c r="N25" s="46">
        <f t="shared" si="0"/>
        <v>2129.3000000000002</v>
      </c>
      <c r="P25" s="193"/>
      <c r="Q25" s="194" t="s">
        <v>210</v>
      </c>
      <c r="R25" s="195">
        <v>0.08</v>
      </c>
      <c r="S25" s="196"/>
    </row>
    <row r="26" spans="1:19" x14ac:dyDescent="0.25">
      <c r="I26" s="53"/>
      <c r="K26" s="37">
        <v>1200</v>
      </c>
      <c r="L26" s="37">
        <f t="shared" si="3"/>
        <v>1165</v>
      </c>
      <c r="M26" s="37">
        <f t="shared" si="2"/>
        <v>5022.25</v>
      </c>
      <c r="N26" s="46">
        <f t="shared" si="0"/>
        <v>2318.35</v>
      </c>
      <c r="P26" s="193"/>
      <c r="Q26" s="194" t="s">
        <v>211</v>
      </c>
      <c r="R26" s="197">
        <f>8%/12</f>
        <v>6.6666666666666671E-3</v>
      </c>
      <c r="S26" s="196"/>
    </row>
    <row r="27" spans="1:19" x14ac:dyDescent="0.25">
      <c r="B27" s="48" t="s">
        <v>30</v>
      </c>
      <c r="C27" s="48"/>
      <c r="D27" s="48"/>
      <c r="E27" s="48"/>
      <c r="F27" s="48"/>
      <c r="G27" s="48"/>
      <c r="H27" s="48"/>
      <c r="I27" s="54">
        <v>1800</v>
      </c>
      <c r="K27" s="37">
        <v>1300</v>
      </c>
      <c r="L27" s="37">
        <f t="shared" si="3"/>
        <v>1260</v>
      </c>
      <c r="M27" s="37">
        <f t="shared" si="2"/>
        <v>5369</v>
      </c>
      <c r="N27" s="46">
        <f t="shared" si="0"/>
        <v>2507.4</v>
      </c>
      <c r="P27" s="193"/>
      <c r="Q27" s="194" t="s">
        <v>212</v>
      </c>
      <c r="R27" s="198">
        <v>60</v>
      </c>
      <c r="S27" s="196"/>
    </row>
    <row r="28" spans="1:19" x14ac:dyDescent="0.25">
      <c r="B28" s="37" t="s">
        <v>4</v>
      </c>
      <c r="I28" s="53">
        <f>M5</f>
        <v>1000</v>
      </c>
      <c r="K28" s="37">
        <v>1400</v>
      </c>
      <c r="L28" s="37">
        <f t="shared" si="3"/>
        <v>1355</v>
      </c>
      <c r="M28" s="37">
        <f t="shared" si="2"/>
        <v>5715.75</v>
      </c>
      <c r="N28" s="46">
        <f t="shared" si="0"/>
        <v>2696.45</v>
      </c>
      <c r="P28" s="193"/>
      <c r="Q28" s="194" t="s">
        <v>213</v>
      </c>
      <c r="R28" s="198">
        <v>1</v>
      </c>
      <c r="S28" s="196"/>
    </row>
    <row r="29" spans="1:19" x14ac:dyDescent="0.25">
      <c r="B29" s="38" t="s">
        <v>98</v>
      </c>
      <c r="K29" s="37">
        <v>1500</v>
      </c>
      <c r="L29" s="37">
        <f t="shared" si="3"/>
        <v>1450</v>
      </c>
      <c r="M29" s="37">
        <f t="shared" si="2"/>
        <v>6062.5</v>
      </c>
      <c r="N29" s="46">
        <f t="shared" si="0"/>
        <v>2885.5</v>
      </c>
      <c r="P29" s="193"/>
      <c r="Q29" s="194" t="s">
        <v>214</v>
      </c>
      <c r="R29" s="194">
        <v>0</v>
      </c>
      <c r="S29" s="196"/>
    </row>
    <row r="30" spans="1:19" x14ac:dyDescent="0.25">
      <c r="K30" s="37">
        <v>1600</v>
      </c>
      <c r="L30" s="37">
        <f t="shared" si="3"/>
        <v>1545</v>
      </c>
      <c r="M30" s="37">
        <f t="shared" si="2"/>
        <v>6409.25</v>
      </c>
      <c r="N30" s="46">
        <f t="shared" si="0"/>
        <v>3074.55</v>
      </c>
      <c r="P30" s="193"/>
      <c r="Q30" s="194" t="s">
        <v>215</v>
      </c>
      <c r="R30" s="194">
        <v>0</v>
      </c>
      <c r="S30" s="196"/>
    </row>
    <row r="31" spans="1:19" x14ac:dyDescent="0.25">
      <c r="K31" s="37">
        <v>1700</v>
      </c>
      <c r="L31" s="37">
        <f t="shared" si="3"/>
        <v>1640</v>
      </c>
      <c r="M31" s="37">
        <f t="shared" si="2"/>
        <v>6756</v>
      </c>
      <c r="N31" s="46">
        <f t="shared" si="0"/>
        <v>3263.6</v>
      </c>
      <c r="P31" s="193"/>
      <c r="Q31" s="198"/>
      <c r="R31" s="198"/>
      <c r="S31" s="196"/>
    </row>
    <row r="32" spans="1:19" ht="15.6" x14ac:dyDescent="0.25">
      <c r="A32" s="55" t="s">
        <v>152</v>
      </c>
      <c r="B32" s="56"/>
      <c r="C32" s="56"/>
      <c r="D32" s="56"/>
      <c r="E32" s="56"/>
      <c r="F32" s="56"/>
      <c r="G32" s="56"/>
      <c r="K32" s="37">
        <v>1800</v>
      </c>
      <c r="L32" s="37">
        <f t="shared" si="3"/>
        <v>1735</v>
      </c>
      <c r="M32" s="37">
        <f t="shared" si="2"/>
        <v>7102.75</v>
      </c>
      <c r="N32" s="46">
        <f t="shared" si="0"/>
        <v>3452.65</v>
      </c>
      <c r="P32" s="193"/>
      <c r="Q32" s="194" t="s">
        <v>216</v>
      </c>
      <c r="R32" s="199">
        <f>PMT(R26,R27,R28,R29,R30)</f>
        <v>-2.0276394288413678E-2</v>
      </c>
      <c r="S32" s="196"/>
    </row>
    <row r="33" spans="1:19" x14ac:dyDescent="0.25">
      <c r="A33" s="56"/>
      <c r="B33" s="56"/>
      <c r="C33" s="56"/>
      <c r="D33" s="56"/>
      <c r="E33" s="56"/>
      <c r="F33" s="56"/>
      <c r="G33" s="56"/>
      <c r="K33" s="37">
        <v>1900</v>
      </c>
      <c r="L33" s="37">
        <f t="shared" si="3"/>
        <v>1830</v>
      </c>
      <c r="M33" s="37">
        <f t="shared" si="2"/>
        <v>7449.5</v>
      </c>
      <c r="N33" s="46">
        <f t="shared" si="0"/>
        <v>3641.7</v>
      </c>
      <c r="P33" s="193"/>
      <c r="Q33" s="194" t="s">
        <v>217</v>
      </c>
      <c r="R33" s="198">
        <f>ABS(R28/R32)</f>
        <v>49.318433335626111</v>
      </c>
      <c r="S33" s="196"/>
    </row>
    <row r="34" spans="1:19" x14ac:dyDescent="0.25">
      <c r="A34" s="56"/>
      <c r="B34" s="56" t="s">
        <v>12</v>
      </c>
      <c r="C34" s="56"/>
      <c r="D34" s="56"/>
      <c r="E34" s="56"/>
      <c r="F34" s="56"/>
      <c r="G34" s="57">
        <v>10</v>
      </c>
      <c r="K34" s="37">
        <v>2000</v>
      </c>
      <c r="L34" s="37">
        <f t="shared" si="3"/>
        <v>1925</v>
      </c>
      <c r="M34" s="37">
        <f t="shared" si="2"/>
        <v>7796.25</v>
      </c>
      <c r="N34" s="46">
        <f t="shared" si="0"/>
        <v>3830.75</v>
      </c>
      <c r="P34" s="200"/>
      <c r="Q34" s="201"/>
      <c r="R34" s="201"/>
      <c r="S34" s="202"/>
    </row>
    <row r="35" spans="1:19" x14ac:dyDescent="0.25">
      <c r="A35" s="56"/>
      <c r="B35" s="56"/>
      <c r="C35" s="56"/>
      <c r="D35" s="56"/>
      <c r="E35" s="56"/>
      <c r="F35" s="56"/>
      <c r="G35" s="57"/>
      <c r="K35" s="37">
        <v>2100</v>
      </c>
      <c r="L35" s="37">
        <f t="shared" si="3"/>
        <v>2020</v>
      </c>
      <c r="M35" s="37">
        <f t="shared" si="2"/>
        <v>8143</v>
      </c>
      <c r="N35" s="46">
        <f t="shared" si="0"/>
        <v>4019.8</v>
      </c>
    </row>
    <row r="36" spans="1:19" x14ac:dyDescent="0.25">
      <c r="A36" s="56"/>
      <c r="B36" s="56" t="s">
        <v>14</v>
      </c>
      <c r="C36" s="56"/>
      <c r="D36" s="56"/>
      <c r="E36" s="56"/>
      <c r="F36" s="56"/>
      <c r="G36" s="57"/>
      <c r="K36" s="37">
        <v>2200</v>
      </c>
      <c r="L36" s="37">
        <f t="shared" si="3"/>
        <v>2115</v>
      </c>
      <c r="M36" s="37">
        <f t="shared" si="2"/>
        <v>8489.75</v>
      </c>
      <c r="N36" s="46">
        <f t="shared" si="0"/>
        <v>4208.8500000000004</v>
      </c>
    </row>
    <row r="37" spans="1:19" x14ac:dyDescent="0.25">
      <c r="A37" s="56"/>
      <c r="B37" s="56"/>
      <c r="C37" s="56"/>
      <c r="D37" s="58" t="s">
        <v>5</v>
      </c>
      <c r="E37" s="58" t="s">
        <v>6</v>
      </c>
      <c r="F37" s="58" t="s">
        <v>20</v>
      </c>
      <c r="G37" s="58" t="s">
        <v>7</v>
      </c>
      <c r="K37" s="37">
        <v>2300</v>
      </c>
      <c r="L37" s="37">
        <f t="shared" si="3"/>
        <v>2210</v>
      </c>
      <c r="M37" s="37">
        <f t="shared" si="2"/>
        <v>8836.5</v>
      </c>
      <c r="N37" s="46">
        <f t="shared" si="0"/>
        <v>4397.8999999999996</v>
      </c>
    </row>
    <row r="38" spans="1:19" ht="12.75" customHeight="1" x14ac:dyDescent="0.25">
      <c r="A38" s="56"/>
      <c r="B38" s="56" t="s">
        <v>17</v>
      </c>
      <c r="C38" s="59" t="s">
        <v>8</v>
      </c>
      <c r="D38" s="88">
        <v>49</v>
      </c>
      <c r="E38" s="86">
        <v>48</v>
      </c>
      <c r="F38" s="57">
        <f>E38*D38</f>
        <v>2352</v>
      </c>
      <c r="G38" s="57">
        <f>E38*$G$383</f>
        <v>0</v>
      </c>
      <c r="H38" s="61">
        <f>E38/$E$56</f>
        <v>0.24</v>
      </c>
      <c r="K38" s="37">
        <v>2400</v>
      </c>
      <c r="L38" s="37">
        <f t="shared" si="3"/>
        <v>2305</v>
      </c>
      <c r="M38" s="37">
        <f t="shared" si="2"/>
        <v>9183.25</v>
      </c>
      <c r="N38" s="46">
        <f t="shared" si="0"/>
        <v>4586.95</v>
      </c>
      <c r="P38" s="63"/>
      <c r="Q38" s="63"/>
      <c r="R38" s="63"/>
      <c r="S38" s="211"/>
    </row>
    <row r="39" spans="1:19" ht="15" x14ac:dyDescent="0.25">
      <c r="A39" s="56"/>
      <c r="B39" s="56" t="s">
        <v>36</v>
      </c>
      <c r="C39" s="59" t="s">
        <v>9</v>
      </c>
      <c r="D39" s="88">
        <v>69</v>
      </c>
      <c r="E39" s="86">
        <v>80</v>
      </c>
      <c r="F39" s="57">
        <f>E39*D39</f>
        <v>5520</v>
      </c>
      <c r="G39" s="57">
        <f>E39*$G$34</f>
        <v>800</v>
      </c>
      <c r="H39" s="61">
        <f>E39/$E$56</f>
        <v>0.4</v>
      </c>
      <c r="I39" s="62"/>
      <c r="K39" s="37">
        <v>2500</v>
      </c>
      <c r="L39" s="37">
        <f t="shared" si="3"/>
        <v>2400</v>
      </c>
      <c r="M39" s="37">
        <f t="shared" si="2"/>
        <v>9530</v>
      </c>
      <c r="N39" s="46">
        <f t="shared" si="0"/>
        <v>4776</v>
      </c>
      <c r="O39" s="38"/>
      <c r="P39" s="63"/>
      <c r="Q39" s="63"/>
      <c r="R39" s="63"/>
      <c r="S39" s="211"/>
    </row>
    <row r="40" spans="1:19" x14ac:dyDescent="0.25">
      <c r="A40" s="56"/>
      <c r="B40" s="56" t="s">
        <v>18</v>
      </c>
      <c r="C40" s="59" t="s">
        <v>116</v>
      </c>
      <c r="D40" s="88">
        <v>99</v>
      </c>
      <c r="E40" s="86">
        <v>32</v>
      </c>
      <c r="F40" s="57">
        <f>E40*D40</f>
        <v>3168</v>
      </c>
      <c r="G40" s="57">
        <f>E40*$G$34</f>
        <v>320</v>
      </c>
      <c r="H40" s="61">
        <f>E40/$E$56</f>
        <v>0.16</v>
      </c>
      <c r="K40" s="37">
        <v>2600</v>
      </c>
      <c r="L40" s="37">
        <f t="shared" si="3"/>
        <v>2495</v>
      </c>
      <c r="M40" s="37">
        <f t="shared" si="2"/>
        <v>9876.75</v>
      </c>
      <c r="N40" s="46">
        <f t="shared" si="0"/>
        <v>4965.05</v>
      </c>
      <c r="O40" s="67"/>
      <c r="P40" s="67"/>
      <c r="Q40" s="67"/>
      <c r="R40" s="67"/>
      <c r="S40" s="68"/>
    </row>
    <row r="41" spans="1:19" x14ac:dyDescent="0.25">
      <c r="A41" s="56"/>
      <c r="B41" s="56"/>
      <c r="C41" s="59"/>
      <c r="D41" s="57"/>
      <c r="E41" s="86"/>
      <c r="F41" s="57"/>
      <c r="G41" s="57"/>
      <c r="K41" s="37">
        <v>2700</v>
      </c>
      <c r="L41" s="37">
        <f t="shared" si="3"/>
        <v>2590</v>
      </c>
      <c r="M41" s="37">
        <f t="shared" si="2"/>
        <v>10223.5</v>
      </c>
      <c r="N41" s="46">
        <f t="shared" si="0"/>
        <v>5154.1000000000004</v>
      </c>
      <c r="O41" s="67"/>
      <c r="P41" s="67"/>
      <c r="Q41" s="67"/>
      <c r="R41" s="67"/>
      <c r="S41" s="68"/>
    </row>
    <row r="42" spans="1:19" x14ac:dyDescent="0.25">
      <c r="A42" s="56"/>
      <c r="B42" s="56" t="s">
        <v>13</v>
      </c>
      <c r="C42" s="56"/>
      <c r="D42" s="57"/>
      <c r="E42" s="86"/>
      <c r="F42" s="57"/>
      <c r="G42" s="57"/>
      <c r="K42" s="37">
        <v>2800</v>
      </c>
      <c r="L42" s="37">
        <f t="shared" si="3"/>
        <v>2685</v>
      </c>
      <c r="M42" s="37">
        <f t="shared" si="2"/>
        <v>10570.25</v>
      </c>
      <c r="N42" s="46">
        <f t="shared" si="0"/>
        <v>5343.15</v>
      </c>
      <c r="O42" s="67"/>
      <c r="P42" s="67"/>
      <c r="Q42" s="67"/>
      <c r="R42" s="67"/>
      <c r="S42" s="68"/>
    </row>
    <row r="43" spans="1:19" ht="15" x14ac:dyDescent="0.25">
      <c r="A43" s="56"/>
      <c r="B43" s="56" t="s">
        <v>19</v>
      </c>
      <c r="C43" s="59" t="s">
        <v>118</v>
      </c>
      <c r="D43" s="57">
        <v>199</v>
      </c>
      <c r="E43" s="87">
        <v>40</v>
      </c>
      <c r="F43" s="65">
        <f>E43*D43</f>
        <v>7960</v>
      </c>
      <c r="G43" s="66">
        <f>E43*$G$34</f>
        <v>400</v>
      </c>
      <c r="K43" s="37">
        <v>2900</v>
      </c>
      <c r="L43" s="37">
        <f t="shared" si="3"/>
        <v>2780</v>
      </c>
      <c r="M43" s="37">
        <f t="shared" si="2"/>
        <v>10917</v>
      </c>
      <c r="N43" s="46">
        <f t="shared" si="0"/>
        <v>5532.2</v>
      </c>
      <c r="O43" s="67"/>
      <c r="P43" s="67"/>
      <c r="Q43" s="67"/>
      <c r="R43" s="67"/>
      <c r="S43" s="68"/>
    </row>
    <row r="44" spans="1:19" x14ac:dyDescent="0.25">
      <c r="A44" s="56"/>
      <c r="B44" s="56"/>
      <c r="C44" s="59"/>
      <c r="D44" s="56"/>
      <c r="E44" s="56"/>
      <c r="F44" s="69">
        <f>SUM(F38:F43)</f>
        <v>19000</v>
      </c>
      <c r="G44" s="69">
        <f>SUM(G38:G43)</f>
        <v>1520</v>
      </c>
      <c r="K44" s="37">
        <v>3000</v>
      </c>
      <c r="L44" s="37">
        <f t="shared" si="3"/>
        <v>2875</v>
      </c>
      <c r="M44" s="37">
        <f t="shared" si="2"/>
        <v>11263.75</v>
      </c>
      <c r="N44" s="46">
        <f t="shared" ref="N44:N64" si="4">L44*$I$14</f>
        <v>5721.25</v>
      </c>
      <c r="O44" s="67"/>
      <c r="P44" s="67"/>
      <c r="Q44" s="67"/>
      <c r="R44" s="67"/>
      <c r="S44" s="68"/>
    </row>
    <row r="45" spans="1:19" x14ac:dyDescent="0.25">
      <c r="A45" s="56"/>
      <c r="K45" s="37">
        <v>3100</v>
      </c>
      <c r="L45" s="37">
        <f t="shared" si="3"/>
        <v>2970</v>
      </c>
      <c r="M45" s="37">
        <f t="shared" si="2"/>
        <v>11610.5</v>
      </c>
      <c r="N45" s="46">
        <f t="shared" si="4"/>
        <v>5910.3</v>
      </c>
      <c r="O45" s="67"/>
      <c r="P45" s="67"/>
      <c r="Q45" s="67"/>
      <c r="R45" s="67"/>
      <c r="S45" s="68"/>
    </row>
    <row r="46" spans="1:19" x14ac:dyDescent="0.25">
      <c r="A46" s="56"/>
      <c r="B46" s="37" t="s">
        <v>84</v>
      </c>
      <c r="C46" s="70">
        <v>0.25</v>
      </c>
      <c r="D46" s="37" t="s">
        <v>102</v>
      </c>
      <c r="K46" s="37">
        <v>3200</v>
      </c>
      <c r="L46" s="37">
        <f t="shared" si="3"/>
        <v>3065</v>
      </c>
      <c r="M46" s="37">
        <f t="shared" si="2"/>
        <v>11957.25</v>
      </c>
      <c r="N46" s="46">
        <f t="shared" si="4"/>
        <v>6099.35</v>
      </c>
      <c r="O46" s="67"/>
      <c r="P46" s="67"/>
      <c r="Q46" s="67"/>
      <c r="R46" s="67"/>
      <c r="S46" s="68"/>
    </row>
    <row r="47" spans="1:19" x14ac:dyDescent="0.25">
      <c r="C47" s="38">
        <v>5</v>
      </c>
      <c r="D47" s="37" t="s">
        <v>85</v>
      </c>
      <c r="F47" s="38" t="s">
        <v>20</v>
      </c>
      <c r="G47" s="71"/>
      <c r="K47" s="37">
        <v>3300</v>
      </c>
      <c r="L47" s="37">
        <f t="shared" si="3"/>
        <v>3160</v>
      </c>
      <c r="M47" s="37">
        <f t="shared" si="2"/>
        <v>12304</v>
      </c>
      <c r="N47" s="46">
        <f t="shared" si="4"/>
        <v>6288.4</v>
      </c>
      <c r="O47" s="67"/>
      <c r="P47" s="67"/>
      <c r="Q47" s="67"/>
      <c r="R47" s="67"/>
      <c r="S47" s="68"/>
    </row>
    <row r="48" spans="1:19" x14ac:dyDescent="0.25">
      <c r="B48" s="56" t="s">
        <v>17</v>
      </c>
      <c r="D48" s="72">
        <f>$C$47</f>
        <v>5</v>
      </c>
      <c r="E48" s="60">
        <f>ROUND(E38*$C$46,0)</f>
        <v>12</v>
      </c>
      <c r="F48" s="73">
        <f>E48*D48</f>
        <v>60</v>
      </c>
      <c r="G48" s="71"/>
      <c r="K48" s="37">
        <v>3400</v>
      </c>
      <c r="L48" s="37">
        <f t="shared" si="3"/>
        <v>3255</v>
      </c>
      <c r="M48" s="37">
        <f t="shared" si="2"/>
        <v>12650.75</v>
      </c>
      <c r="N48" s="46">
        <f t="shared" si="4"/>
        <v>6477.45</v>
      </c>
      <c r="O48" s="67"/>
      <c r="P48" s="67"/>
      <c r="Q48" s="67"/>
      <c r="R48" s="67"/>
      <c r="S48" s="68"/>
    </row>
    <row r="49" spans="1:19" x14ac:dyDescent="0.25">
      <c r="B49" s="56" t="s">
        <v>36</v>
      </c>
      <c r="D49" s="72">
        <f>$C$47</f>
        <v>5</v>
      </c>
      <c r="E49" s="60">
        <f>ROUND(E39*$C$46,0)</f>
        <v>20</v>
      </c>
      <c r="F49" s="73">
        <f>E49*D49</f>
        <v>100</v>
      </c>
      <c r="G49" s="71"/>
      <c r="K49" s="37">
        <v>3500</v>
      </c>
      <c r="L49" s="37">
        <f t="shared" si="3"/>
        <v>3350</v>
      </c>
      <c r="M49" s="37">
        <f t="shared" si="2"/>
        <v>12997.5</v>
      </c>
      <c r="N49" s="46">
        <f t="shared" si="4"/>
        <v>6666.5</v>
      </c>
      <c r="O49" s="67"/>
      <c r="P49" s="67"/>
      <c r="Q49" s="67"/>
      <c r="R49" s="67"/>
      <c r="S49" s="68"/>
    </row>
    <row r="50" spans="1:19" x14ac:dyDescent="0.25">
      <c r="B50" s="56" t="s">
        <v>18</v>
      </c>
      <c r="D50" s="72">
        <f>$C$47</f>
        <v>5</v>
      </c>
      <c r="E50" s="60">
        <f>ROUND(E40*$C$46,0)</f>
        <v>8</v>
      </c>
      <c r="F50" s="73">
        <f>E50*D50</f>
        <v>40</v>
      </c>
      <c r="G50" s="71"/>
      <c r="K50" s="37">
        <v>3600</v>
      </c>
      <c r="L50" s="37">
        <f t="shared" si="3"/>
        <v>3445</v>
      </c>
      <c r="M50" s="37">
        <f t="shared" si="2"/>
        <v>13344.25</v>
      </c>
      <c r="N50" s="46">
        <f t="shared" si="4"/>
        <v>6855.55</v>
      </c>
      <c r="O50" s="67"/>
      <c r="P50" s="67"/>
      <c r="Q50" s="67"/>
      <c r="R50" s="67"/>
      <c r="S50" s="68"/>
    </row>
    <row r="51" spans="1:19" x14ac:dyDescent="0.25">
      <c r="E51" s="60"/>
      <c r="F51" s="73"/>
      <c r="K51" s="37">
        <v>3700</v>
      </c>
      <c r="L51" s="37">
        <f t="shared" si="3"/>
        <v>3540</v>
      </c>
      <c r="M51" s="37">
        <f t="shared" si="2"/>
        <v>13691</v>
      </c>
      <c r="N51" s="46">
        <f t="shared" si="4"/>
        <v>7044.6</v>
      </c>
      <c r="O51" s="67"/>
      <c r="P51" s="67"/>
      <c r="Q51" s="67"/>
      <c r="R51" s="67"/>
      <c r="S51" s="68"/>
    </row>
    <row r="52" spans="1:19" x14ac:dyDescent="0.25">
      <c r="B52" s="56" t="s">
        <v>13</v>
      </c>
      <c r="E52" s="60"/>
      <c r="F52" s="73"/>
      <c r="K52" s="37">
        <v>3800</v>
      </c>
      <c r="L52" s="37">
        <f t="shared" si="3"/>
        <v>3635</v>
      </c>
      <c r="M52" s="37">
        <f t="shared" si="2"/>
        <v>14037.75</v>
      </c>
      <c r="N52" s="46">
        <f t="shared" si="4"/>
        <v>7233.65</v>
      </c>
      <c r="O52" s="67"/>
      <c r="P52" s="67"/>
      <c r="Q52" s="67"/>
      <c r="R52" s="67"/>
      <c r="S52" s="68"/>
    </row>
    <row r="53" spans="1:19" x14ac:dyDescent="0.25">
      <c r="B53" s="56" t="s">
        <v>19</v>
      </c>
      <c r="D53" s="72">
        <f>$C$47</f>
        <v>5</v>
      </c>
      <c r="E53" s="60">
        <v>0</v>
      </c>
      <c r="F53" s="74">
        <f>E53*D53</f>
        <v>0</v>
      </c>
      <c r="G53" s="37" t="s">
        <v>103</v>
      </c>
      <c r="K53" s="37">
        <v>3900</v>
      </c>
      <c r="L53" s="37">
        <f t="shared" si="3"/>
        <v>3730</v>
      </c>
      <c r="M53" s="37">
        <f t="shared" si="2"/>
        <v>14384.5</v>
      </c>
      <c r="N53" s="46">
        <f t="shared" si="4"/>
        <v>7422.7</v>
      </c>
      <c r="O53" s="67"/>
      <c r="P53" s="67"/>
      <c r="Q53" s="67"/>
      <c r="R53" s="67"/>
      <c r="S53" s="68"/>
    </row>
    <row r="54" spans="1:19" x14ac:dyDescent="0.25">
      <c r="F54" s="73">
        <f>SUM(F48:F53)</f>
        <v>200</v>
      </c>
      <c r="K54" s="37">
        <v>4000</v>
      </c>
      <c r="L54" s="37">
        <f t="shared" si="3"/>
        <v>3825</v>
      </c>
      <c r="M54" s="37">
        <f t="shared" si="2"/>
        <v>14731.25</v>
      </c>
      <c r="N54" s="46">
        <f t="shared" si="4"/>
        <v>7611.75</v>
      </c>
      <c r="O54" s="67"/>
      <c r="P54" s="67"/>
      <c r="Q54" s="67"/>
      <c r="R54" s="67"/>
      <c r="S54" s="68"/>
    </row>
    <row r="55" spans="1:19" x14ac:dyDescent="0.25">
      <c r="K55" s="37">
        <v>4100</v>
      </c>
      <c r="L55" s="37">
        <f t="shared" si="3"/>
        <v>3920</v>
      </c>
      <c r="M55" s="37">
        <f t="shared" si="2"/>
        <v>15078</v>
      </c>
      <c r="N55" s="46">
        <f t="shared" si="4"/>
        <v>7800.8</v>
      </c>
      <c r="O55" s="67"/>
      <c r="P55" s="67"/>
      <c r="Q55" s="67"/>
      <c r="R55" s="67"/>
      <c r="S55" s="68"/>
    </row>
    <row r="56" spans="1:19" x14ac:dyDescent="0.25">
      <c r="B56" s="56" t="s">
        <v>15</v>
      </c>
      <c r="C56" s="59"/>
      <c r="D56" s="56"/>
      <c r="E56" s="60">
        <f>SUM(E38:E43)</f>
        <v>200</v>
      </c>
      <c r="F56" s="69">
        <f>F54+F44</f>
        <v>19200</v>
      </c>
      <c r="G56" s="69"/>
      <c r="K56" s="37">
        <v>4200</v>
      </c>
      <c r="L56" s="37">
        <f t="shared" si="3"/>
        <v>4015</v>
      </c>
      <c r="M56" s="37">
        <f t="shared" si="2"/>
        <v>15424.75</v>
      </c>
      <c r="N56" s="46">
        <f t="shared" si="4"/>
        <v>7989.85</v>
      </c>
      <c r="O56" s="67"/>
      <c r="P56" s="67"/>
      <c r="Q56" s="67"/>
      <c r="R56" s="67"/>
      <c r="S56" s="68"/>
    </row>
    <row r="57" spans="1:19" x14ac:dyDescent="0.25">
      <c r="B57" s="56" t="s">
        <v>10</v>
      </c>
      <c r="C57" s="59"/>
      <c r="D57" s="56"/>
      <c r="E57" s="69">
        <f>G57/E56</f>
        <v>103.6</v>
      </c>
      <c r="F57" s="56" t="s">
        <v>16</v>
      </c>
      <c r="G57" s="69">
        <f>F56+G44</f>
        <v>20720</v>
      </c>
      <c r="K57" s="37">
        <v>4300</v>
      </c>
      <c r="L57" s="37">
        <f t="shared" si="3"/>
        <v>4110</v>
      </c>
      <c r="M57" s="37">
        <f t="shared" si="2"/>
        <v>15771.5</v>
      </c>
      <c r="N57" s="46">
        <f t="shared" si="4"/>
        <v>8178.9</v>
      </c>
      <c r="O57" s="67"/>
      <c r="P57" s="67"/>
      <c r="Q57" s="67"/>
      <c r="R57" s="67"/>
      <c r="S57" s="68"/>
    </row>
    <row r="58" spans="1:19" x14ac:dyDescent="0.25">
      <c r="B58" s="56"/>
      <c r="C58" s="59"/>
      <c r="D58" s="56"/>
      <c r="E58" s="69"/>
      <c r="F58" s="56"/>
      <c r="G58" s="69"/>
      <c r="K58" s="37">
        <v>4400</v>
      </c>
      <c r="L58" s="37">
        <f t="shared" si="3"/>
        <v>4205</v>
      </c>
      <c r="M58" s="37">
        <f t="shared" si="2"/>
        <v>16118.25</v>
      </c>
      <c r="N58" s="46">
        <f t="shared" si="4"/>
        <v>8367.9500000000007</v>
      </c>
      <c r="O58" s="67"/>
      <c r="P58" s="67"/>
      <c r="Q58" s="67"/>
      <c r="R58" s="67"/>
      <c r="S58" s="68"/>
    </row>
    <row r="59" spans="1:19" ht="15.6" x14ac:dyDescent="0.25">
      <c r="A59" s="55" t="s">
        <v>160</v>
      </c>
      <c r="B59" s="56"/>
      <c r="C59" s="56"/>
      <c r="D59" s="56"/>
      <c r="E59" s="56"/>
      <c r="F59" s="56"/>
      <c r="G59" s="56"/>
      <c r="K59" s="37">
        <v>4500</v>
      </c>
      <c r="L59" s="37">
        <f t="shared" si="3"/>
        <v>4300</v>
      </c>
      <c r="M59" s="37">
        <f t="shared" si="2"/>
        <v>16465</v>
      </c>
      <c r="N59" s="46">
        <f t="shared" si="4"/>
        <v>8557</v>
      </c>
      <c r="O59" s="67"/>
      <c r="P59" s="67"/>
      <c r="Q59" s="67"/>
      <c r="R59" s="67"/>
      <c r="S59" s="68"/>
    </row>
    <row r="60" spans="1:19" x14ac:dyDescent="0.25">
      <c r="A60" s="56"/>
      <c r="B60" s="56"/>
      <c r="C60" s="56"/>
      <c r="D60" s="56"/>
      <c r="E60" s="56"/>
      <c r="F60" s="56"/>
      <c r="G60" s="56"/>
      <c r="K60" s="37">
        <v>4600</v>
      </c>
      <c r="L60" s="37">
        <f t="shared" si="3"/>
        <v>4395</v>
      </c>
      <c r="M60" s="37">
        <f t="shared" si="2"/>
        <v>16811.75</v>
      </c>
      <c r="N60" s="46">
        <f t="shared" si="4"/>
        <v>8746.0499999999993</v>
      </c>
    </row>
    <row r="61" spans="1:19" x14ac:dyDescent="0.25">
      <c r="A61" s="56"/>
      <c r="B61" s="56" t="s">
        <v>12</v>
      </c>
      <c r="C61" s="56"/>
      <c r="D61" s="56"/>
      <c r="E61" s="56"/>
      <c r="F61" s="56"/>
      <c r="G61" s="88">
        <v>9</v>
      </c>
      <c r="K61" s="37">
        <v>4700</v>
      </c>
      <c r="L61" s="37">
        <f t="shared" si="3"/>
        <v>4490</v>
      </c>
      <c r="M61" s="37">
        <f t="shared" si="2"/>
        <v>17158.5</v>
      </c>
      <c r="N61" s="46">
        <f t="shared" si="4"/>
        <v>8935.1</v>
      </c>
    </row>
    <row r="62" spans="1:19" x14ac:dyDescent="0.25">
      <c r="A62" s="56"/>
      <c r="B62" s="56"/>
      <c r="C62" s="56"/>
      <c r="D62" s="56"/>
      <c r="E62" s="56"/>
      <c r="F62" s="56"/>
      <c r="G62" s="57"/>
      <c r="K62" s="37">
        <v>4800</v>
      </c>
      <c r="L62" s="37">
        <f t="shared" si="3"/>
        <v>4585</v>
      </c>
      <c r="M62" s="37">
        <f t="shared" si="2"/>
        <v>17505.25</v>
      </c>
      <c r="N62" s="46">
        <f t="shared" si="4"/>
        <v>9124.15</v>
      </c>
    </row>
    <row r="63" spans="1:19" x14ac:dyDescent="0.25">
      <c r="A63" s="56"/>
      <c r="B63" s="56" t="s">
        <v>14</v>
      </c>
      <c r="C63" s="56"/>
      <c r="D63" s="56"/>
      <c r="E63" s="56"/>
      <c r="F63" s="56"/>
      <c r="G63" s="57"/>
      <c r="K63" s="37">
        <v>4900</v>
      </c>
      <c r="L63" s="37">
        <f t="shared" si="3"/>
        <v>4680</v>
      </c>
      <c r="M63" s="37">
        <f t="shared" si="2"/>
        <v>17852</v>
      </c>
      <c r="N63" s="46">
        <f t="shared" si="4"/>
        <v>9313.2000000000007</v>
      </c>
    </row>
    <row r="64" spans="1:19" x14ac:dyDescent="0.25">
      <c r="A64" s="56"/>
      <c r="B64" s="56"/>
      <c r="C64" s="56"/>
      <c r="D64" s="58" t="s">
        <v>5</v>
      </c>
      <c r="E64" s="58" t="s">
        <v>6</v>
      </c>
      <c r="F64" s="58" t="s">
        <v>20</v>
      </c>
      <c r="G64" s="58" t="s">
        <v>7</v>
      </c>
      <c r="K64" s="37">
        <v>5000</v>
      </c>
      <c r="L64" s="37">
        <f t="shared" si="3"/>
        <v>4775</v>
      </c>
      <c r="M64" s="37">
        <f t="shared" si="2"/>
        <v>18198.75</v>
      </c>
      <c r="N64" s="46">
        <f t="shared" si="4"/>
        <v>9502.25</v>
      </c>
    </row>
    <row r="65" spans="1:19" x14ac:dyDescent="0.25">
      <c r="A65" s="56"/>
      <c r="B65" s="56" t="s">
        <v>17</v>
      </c>
      <c r="C65" s="59" t="s">
        <v>8</v>
      </c>
      <c r="D65" s="88">
        <v>39</v>
      </c>
      <c r="E65" s="86">
        <v>16</v>
      </c>
      <c r="F65" s="57">
        <f>E65*D65</f>
        <v>624</v>
      </c>
      <c r="G65" s="57">
        <f>E65*$G$61</f>
        <v>144</v>
      </c>
      <c r="H65" s="61">
        <f>E65/$E$56</f>
        <v>0.08</v>
      </c>
    </row>
    <row r="66" spans="1:19" x14ac:dyDescent="0.25">
      <c r="A66" s="56"/>
      <c r="B66" s="56" t="s">
        <v>36</v>
      </c>
      <c r="C66" s="59" t="s">
        <v>9</v>
      </c>
      <c r="D66" s="88">
        <v>59</v>
      </c>
      <c r="E66" s="86">
        <v>94</v>
      </c>
      <c r="F66" s="57">
        <f>E66*D66</f>
        <v>5546</v>
      </c>
      <c r="G66" s="57">
        <f>E66*$G$61</f>
        <v>846</v>
      </c>
      <c r="H66" s="61">
        <f>E66/$E$56</f>
        <v>0.47</v>
      </c>
      <c r="L66" s="75"/>
    </row>
    <row r="67" spans="1:19" x14ac:dyDescent="0.25">
      <c r="A67" s="56"/>
      <c r="B67" s="56" t="s">
        <v>18</v>
      </c>
      <c r="C67" s="59" t="s">
        <v>116</v>
      </c>
      <c r="D67" s="88">
        <v>89</v>
      </c>
      <c r="E67" s="86">
        <v>16</v>
      </c>
      <c r="F67" s="57">
        <f>E67*D67</f>
        <v>1424</v>
      </c>
      <c r="G67" s="57">
        <f>E67*$G$61</f>
        <v>144</v>
      </c>
      <c r="H67" s="61">
        <f>E67/$E$56</f>
        <v>0.08</v>
      </c>
    </row>
    <row r="68" spans="1:19" x14ac:dyDescent="0.25">
      <c r="A68" s="56"/>
      <c r="B68" s="56"/>
      <c r="C68" s="59"/>
      <c r="D68" s="57"/>
      <c r="E68" s="60"/>
      <c r="F68" s="57"/>
      <c r="G68" s="57"/>
    </row>
    <row r="69" spans="1:19" x14ac:dyDescent="0.25">
      <c r="A69" s="56"/>
      <c r="B69" s="56" t="s">
        <v>13</v>
      </c>
      <c r="C69" s="56"/>
      <c r="D69" s="57"/>
      <c r="E69" s="60"/>
      <c r="F69" s="57"/>
      <c r="G69" s="57"/>
    </row>
    <row r="70" spans="1:19" ht="15" x14ac:dyDescent="0.25">
      <c r="A70" s="56"/>
      <c r="B70" s="56" t="s">
        <v>19</v>
      </c>
      <c r="C70" s="59" t="s">
        <v>118</v>
      </c>
      <c r="D70" s="88">
        <v>199</v>
      </c>
      <c r="E70" s="87">
        <v>6</v>
      </c>
      <c r="F70" s="65">
        <f>E70*D70</f>
        <v>1194</v>
      </c>
      <c r="G70" s="66">
        <f>E70*$G$34</f>
        <v>60</v>
      </c>
      <c r="H70" s="61">
        <f>E70/$E$56</f>
        <v>0.03</v>
      </c>
    </row>
    <row r="71" spans="1:19" x14ac:dyDescent="0.25">
      <c r="A71" s="56"/>
      <c r="B71" s="56"/>
      <c r="C71" s="59"/>
      <c r="D71" s="56"/>
      <c r="E71" s="56"/>
      <c r="F71" s="69">
        <f>SUM(F65:F70)</f>
        <v>8788</v>
      </c>
      <c r="G71" s="69">
        <f>SUM(G65:G70)</f>
        <v>1194</v>
      </c>
      <c r="L71" s="38" t="s">
        <v>147</v>
      </c>
    </row>
    <row r="72" spans="1:19" x14ac:dyDescent="0.25">
      <c r="A72" s="56"/>
      <c r="P72" s="38" t="s">
        <v>148</v>
      </c>
      <c r="Q72" s="38" t="s">
        <v>148</v>
      </c>
      <c r="R72" s="38"/>
      <c r="S72" s="38"/>
    </row>
    <row r="73" spans="1:19" x14ac:dyDescent="0.25">
      <c r="A73" s="56"/>
      <c r="B73" s="37" t="s">
        <v>84</v>
      </c>
      <c r="C73" s="50">
        <v>0.5</v>
      </c>
      <c r="D73" s="37" t="s">
        <v>102</v>
      </c>
      <c r="K73" s="37" t="s">
        <v>91</v>
      </c>
      <c r="L73" s="37" t="s">
        <v>50</v>
      </c>
      <c r="M73" s="37" t="s">
        <v>48</v>
      </c>
      <c r="N73" s="38" t="s">
        <v>51</v>
      </c>
      <c r="O73" s="37" t="s">
        <v>49</v>
      </c>
      <c r="P73" s="38" t="s">
        <v>45</v>
      </c>
      <c r="Q73" s="38" t="s">
        <v>62</v>
      </c>
      <c r="R73" s="38"/>
    </row>
    <row r="74" spans="1:19" x14ac:dyDescent="0.25">
      <c r="C74" s="40">
        <v>5</v>
      </c>
      <c r="D74" s="37" t="s">
        <v>85</v>
      </c>
      <c r="F74" s="38" t="s">
        <v>20</v>
      </c>
      <c r="G74" s="71"/>
      <c r="K74" s="37">
        <v>1</v>
      </c>
      <c r="L74" s="77">
        <v>0.25</v>
      </c>
      <c r="M74" s="78">
        <f>$M$77*L74</f>
        <v>50</v>
      </c>
      <c r="N74" s="37">
        <v>0</v>
      </c>
      <c r="O74" s="52">
        <f t="shared" ref="O74:O93" si="5">ROUNDUP(M74/$I$16,0)</f>
        <v>1</v>
      </c>
      <c r="P74" s="37">
        <f t="shared" ref="P74:P93" si="6">O74*$I$16</f>
        <v>200</v>
      </c>
      <c r="Q74" s="67">
        <f>$I$6</f>
        <v>62780</v>
      </c>
      <c r="S74" s="67"/>
    </row>
    <row r="75" spans="1:19" x14ac:dyDescent="0.25">
      <c r="B75" s="56" t="s">
        <v>17</v>
      </c>
      <c r="D75" s="72">
        <f>$C$47</f>
        <v>5</v>
      </c>
      <c r="E75" s="60">
        <f>ROUND(E65*$C$73,0)</f>
        <v>8</v>
      </c>
      <c r="F75" s="73">
        <f>E75*D75</f>
        <v>40</v>
      </c>
      <c r="G75" s="71"/>
      <c r="K75" s="37">
        <v>2</v>
      </c>
      <c r="L75" s="123">
        <v>0.5</v>
      </c>
      <c r="M75" s="78">
        <f>$M$77*L75</f>
        <v>100</v>
      </c>
      <c r="N75" s="79">
        <f t="shared" ref="N75:N93" si="7">M75-M74</f>
        <v>50</v>
      </c>
      <c r="O75" s="52">
        <f t="shared" si="5"/>
        <v>1</v>
      </c>
      <c r="P75" s="37">
        <f t="shared" si="6"/>
        <v>200</v>
      </c>
      <c r="Q75" s="67">
        <f>(O75-O74)*$I$6</f>
        <v>0</v>
      </c>
    </row>
    <row r="76" spans="1:19" x14ac:dyDescent="0.25">
      <c r="B76" s="56" t="s">
        <v>36</v>
      </c>
      <c r="D76" s="72">
        <f>$C$47</f>
        <v>5</v>
      </c>
      <c r="E76" s="60">
        <f>ROUND(E66*$C$73,0)</f>
        <v>47</v>
      </c>
      <c r="F76" s="73">
        <f>E76*D76</f>
        <v>235</v>
      </c>
      <c r="G76" s="71"/>
      <c r="K76" s="37">
        <v>3</v>
      </c>
      <c r="L76" s="123">
        <v>0.75</v>
      </c>
      <c r="M76" s="78">
        <f>$M$77*L76</f>
        <v>150</v>
      </c>
      <c r="N76" s="79">
        <f t="shared" si="7"/>
        <v>50</v>
      </c>
      <c r="O76" s="52">
        <f t="shared" si="5"/>
        <v>1</v>
      </c>
      <c r="P76" s="37">
        <f t="shared" si="6"/>
        <v>200</v>
      </c>
      <c r="Q76" s="67">
        <f t="shared" ref="Q76:Q93" si="8">(O76-O75)*$I$6</f>
        <v>0</v>
      </c>
    </row>
    <row r="77" spans="1:19" x14ac:dyDescent="0.25">
      <c r="B77" s="56" t="s">
        <v>18</v>
      </c>
      <c r="D77" s="72">
        <f>$C$47</f>
        <v>5</v>
      </c>
      <c r="E77" s="60">
        <f>ROUND(E67*$C$73,0)</f>
        <v>8</v>
      </c>
      <c r="F77" s="73">
        <f>E77*D77</f>
        <v>40</v>
      </c>
      <c r="G77" s="71"/>
      <c r="K77" s="37">
        <v>4</v>
      </c>
      <c r="L77" s="77">
        <v>1</v>
      </c>
      <c r="M77" s="80">
        <f>'Macro Site '!C33</f>
        <v>200</v>
      </c>
      <c r="N77" s="79">
        <f t="shared" si="7"/>
        <v>50</v>
      </c>
      <c r="O77" s="52">
        <f t="shared" si="5"/>
        <v>1</v>
      </c>
      <c r="P77" s="37">
        <f t="shared" si="6"/>
        <v>200</v>
      </c>
      <c r="Q77" s="67">
        <f t="shared" si="8"/>
        <v>0</v>
      </c>
    </row>
    <row r="78" spans="1:19" x14ac:dyDescent="0.25">
      <c r="E78" s="60"/>
      <c r="F78" s="73"/>
      <c r="K78" s="37">
        <v>5</v>
      </c>
      <c r="L78" s="77">
        <v>1.25</v>
      </c>
      <c r="M78" s="78">
        <f>ROUND(($M$81-$M$77)/4,0)+M77</f>
        <v>300</v>
      </c>
      <c r="N78" s="79">
        <f t="shared" si="7"/>
        <v>100</v>
      </c>
      <c r="O78" s="52">
        <f t="shared" si="5"/>
        <v>2</v>
      </c>
      <c r="P78" s="37">
        <f t="shared" si="6"/>
        <v>400</v>
      </c>
      <c r="Q78" s="67">
        <f>(O78-O77)*$I$6</f>
        <v>62780</v>
      </c>
    </row>
    <row r="79" spans="1:19" x14ac:dyDescent="0.25">
      <c r="B79" s="56" t="s">
        <v>13</v>
      </c>
      <c r="E79" s="60"/>
      <c r="F79" s="73"/>
      <c r="K79" s="37">
        <v>6</v>
      </c>
      <c r="L79" s="77">
        <v>1.5</v>
      </c>
      <c r="M79" s="78">
        <f>ROUND(($M$81-$M$77)/4,0)+M78</f>
        <v>400</v>
      </c>
      <c r="N79" s="79">
        <f t="shared" si="7"/>
        <v>100</v>
      </c>
      <c r="O79" s="52">
        <f t="shared" si="5"/>
        <v>2</v>
      </c>
      <c r="P79" s="37">
        <f t="shared" si="6"/>
        <v>400</v>
      </c>
      <c r="Q79" s="67">
        <f t="shared" si="8"/>
        <v>0</v>
      </c>
    </row>
    <row r="80" spans="1:19" x14ac:dyDescent="0.25">
      <c r="B80" s="56" t="s">
        <v>19</v>
      </c>
      <c r="D80" s="72">
        <f>$C$47</f>
        <v>5</v>
      </c>
      <c r="E80" s="60">
        <v>0</v>
      </c>
      <c r="F80" s="74">
        <f>E80*D80</f>
        <v>0</v>
      </c>
      <c r="G80" s="37" t="s">
        <v>103</v>
      </c>
      <c r="K80" s="37">
        <v>7</v>
      </c>
      <c r="L80" s="77">
        <v>1.75</v>
      </c>
      <c r="M80" s="78">
        <f>ROUND(($M$81-$M$77)/4,0)+M79</f>
        <v>500</v>
      </c>
      <c r="N80" s="79">
        <f t="shared" si="7"/>
        <v>100</v>
      </c>
      <c r="O80" s="52">
        <f t="shared" si="5"/>
        <v>3</v>
      </c>
      <c r="P80" s="37">
        <f t="shared" si="6"/>
        <v>600</v>
      </c>
      <c r="Q80" s="67">
        <f t="shared" si="8"/>
        <v>62780</v>
      </c>
    </row>
    <row r="81" spans="1:18" x14ac:dyDescent="0.25">
      <c r="F81" s="73">
        <f>SUM(F75:F80)</f>
        <v>315</v>
      </c>
      <c r="K81" s="37">
        <v>8</v>
      </c>
      <c r="L81" s="77">
        <v>2</v>
      </c>
      <c r="M81" s="80">
        <v>600</v>
      </c>
      <c r="N81" s="79">
        <f t="shared" si="7"/>
        <v>100</v>
      </c>
      <c r="O81" s="52">
        <f t="shared" si="5"/>
        <v>3</v>
      </c>
      <c r="P81" s="37">
        <f t="shared" si="6"/>
        <v>600</v>
      </c>
      <c r="Q81" s="67">
        <f t="shared" si="8"/>
        <v>0</v>
      </c>
    </row>
    <row r="82" spans="1:18" ht="26.4" x14ac:dyDescent="0.25">
      <c r="B82" s="93" t="s">
        <v>166</v>
      </c>
      <c r="C82" s="27" t="s">
        <v>165</v>
      </c>
      <c r="D82" s="27" t="s">
        <v>5</v>
      </c>
      <c r="F82" s="73"/>
      <c r="K82" s="37">
        <v>9</v>
      </c>
      <c r="L82" s="77">
        <v>2.25</v>
      </c>
      <c r="M82" s="78">
        <f>M81+ROUND(($M$85-$M$81)/4,0)</f>
        <v>900</v>
      </c>
      <c r="N82" s="79">
        <f t="shared" si="7"/>
        <v>300</v>
      </c>
      <c r="O82" s="52">
        <f t="shared" si="5"/>
        <v>5</v>
      </c>
      <c r="P82" s="37">
        <f t="shared" si="6"/>
        <v>1000</v>
      </c>
      <c r="Q82" s="67">
        <f t="shared" si="8"/>
        <v>125560</v>
      </c>
    </row>
    <row r="83" spans="1:18" x14ac:dyDescent="0.25">
      <c r="B83" s="89" t="s">
        <v>164</v>
      </c>
      <c r="C83" s="50">
        <v>1</v>
      </c>
      <c r="D83" s="94">
        <v>2</v>
      </c>
      <c r="E83" s="95">
        <f>SUM(E65:E67)*C83</f>
        <v>126</v>
      </c>
      <c r="F83" s="73">
        <f>E83*D83</f>
        <v>252</v>
      </c>
      <c r="K83" s="37">
        <v>10</v>
      </c>
      <c r="L83" s="77">
        <v>2.5</v>
      </c>
      <c r="M83" s="78">
        <f>M82+ROUND(($M$85-$M$81)/4,0)</f>
        <v>1200</v>
      </c>
      <c r="N83" s="79">
        <f t="shared" si="7"/>
        <v>300</v>
      </c>
      <c r="O83" s="52">
        <f t="shared" si="5"/>
        <v>6</v>
      </c>
      <c r="P83" s="37">
        <f t="shared" si="6"/>
        <v>1200</v>
      </c>
      <c r="Q83" s="67">
        <f t="shared" si="8"/>
        <v>62780</v>
      </c>
    </row>
    <row r="84" spans="1:18" x14ac:dyDescent="0.25">
      <c r="B84" s="89" t="s">
        <v>168</v>
      </c>
      <c r="F84" s="73"/>
      <c r="K84" s="37">
        <v>11</v>
      </c>
      <c r="L84" s="77">
        <v>2.75</v>
      </c>
      <c r="M84" s="78">
        <f>M83+ROUND(($M$85-$M$81)/4,0)</f>
        <v>1500</v>
      </c>
      <c r="N84" s="79">
        <f t="shared" si="7"/>
        <v>300</v>
      </c>
      <c r="O84" s="52">
        <f t="shared" si="5"/>
        <v>8</v>
      </c>
      <c r="P84" s="37">
        <f t="shared" si="6"/>
        <v>1600</v>
      </c>
      <c r="Q84" s="67">
        <f t="shared" si="8"/>
        <v>125560</v>
      </c>
    </row>
    <row r="85" spans="1:18" x14ac:dyDescent="0.25">
      <c r="B85" s="89" t="s">
        <v>167</v>
      </c>
      <c r="F85" s="73"/>
      <c r="K85" s="37">
        <v>12</v>
      </c>
      <c r="L85" s="77">
        <v>3</v>
      </c>
      <c r="M85" s="80">
        <v>1800</v>
      </c>
      <c r="N85" s="79">
        <f t="shared" si="7"/>
        <v>300</v>
      </c>
      <c r="O85" s="52">
        <f t="shared" si="5"/>
        <v>9</v>
      </c>
      <c r="P85" s="37">
        <f t="shared" si="6"/>
        <v>1800</v>
      </c>
      <c r="Q85" s="67">
        <f t="shared" si="8"/>
        <v>62780</v>
      </c>
    </row>
    <row r="86" spans="1:18" x14ac:dyDescent="0.25">
      <c r="C86" s="27" t="s">
        <v>170</v>
      </c>
      <c r="F86" s="73"/>
      <c r="G86" s="73">
        <f>SUM(F83:F85)</f>
        <v>252</v>
      </c>
      <c r="K86" s="37">
        <v>13</v>
      </c>
      <c r="L86" s="77">
        <v>3.25</v>
      </c>
      <c r="M86" s="78">
        <f>M85+ROUND(($M$89-$M$85)/4,0)</f>
        <v>1975</v>
      </c>
      <c r="N86" s="79">
        <f t="shared" si="7"/>
        <v>175</v>
      </c>
      <c r="O86" s="52">
        <f t="shared" si="5"/>
        <v>10</v>
      </c>
      <c r="P86" s="37">
        <f t="shared" si="6"/>
        <v>2000</v>
      </c>
      <c r="Q86" s="67">
        <f t="shared" si="8"/>
        <v>62780</v>
      </c>
    </row>
    <row r="87" spans="1:18" x14ac:dyDescent="0.25">
      <c r="K87" s="37">
        <v>14</v>
      </c>
      <c r="L87" s="77">
        <v>3.5</v>
      </c>
      <c r="M87" s="78">
        <f>M86+ROUND(($M$89-$M$85)/4,0)</f>
        <v>2150</v>
      </c>
      <c r="N87" s="79">
        <f t="shared" si="7"/>
        <v>175</v>
      </c>
      <c r="O87" s="52">
        <f t="shared" si="5"/>
        <v>11</v>
      </c>
      <c r="P87" s="37">
        <f t="shared" si="6"/>
        <v>2200</v>
      </c>
      <c r="Q87" s="67">
        <f t="shared" si="8"/>
        <v>62780</v>
      </c>
    </row>
    <row r="88" spans="1:18" x14ac:dyDescent="0.25">
      <c r="B88" s="56" t="s">
        <v>15</v>
      </c>
      <c r="C88" s="59"/>
      <c r="D88" s="56"/>
      <c r="E88" s="60">
        <f>SUM(E65:E70)</f>
        <v>132</v>
      </c>
      <c r="G88" s="69">
        <f>F71+G71+F81+G86</f>
        <v>10549</v>
      </c>
      <c r="K88" s="37">
        <v>15</v>
      </c>
      <c r="L88" s="77">
        <v>3.75</v>
      </c>
      <c r="M88" s="78">
        <f>M87+ROUND(($M$89-$M$85)/4,0)</f>
        <v>2325</v>
      </c>
      <c r="N88" s="79">
        <f t="shared" si="7"/>
        <v>175</v>
      </c>
      <c r="O88" s="52">
        <f t="shared" si="5"/>
        <v>12</v>
      </c>
      <c r="P88" s="37">
        <f t="shared" si="6"/>
        <v>2400</v>
      </c>
      <c r="Q88" s="67">
        <f t="shared" si="8"/>
        <v>62780</v>
      </c>
    </row>
    <row r="89" spans="1:18" ht="39.450000000000003" customHeight="1" x14ac:dyDescent="0.25">
      <c r="B89" s="217" t="s">
        <v>169</v>
      </c>
      <c r="C89" s="217"/>
      <c r="D89" s="217"/>
      <c r="E89" s="124">
        <f>G88/E88</f>
        <v>79.916666666666671</v>
      </c>
      <c r="F89" s="9"/>
      <c r="G89" s="96"/>
      <c r="K89" s="37">
        <v>16</v>
      </c>
      <c r="L89" s="77">
        <v>4</v>
      </c>
      <c r="M89" s="80">
        <v>2500</v>
      </c>
      <c r="N89" s="79">
        <f t="shared" si="7"/>
        <v>175</v>
      </c>
      <c r="O89" s="52">
        <f t="shared" si="5"/>
        <v>13</v>
      </c>
      <c r="P89" s="37">
        <f t="shared" si="6"/>
        <v>2600</v>
      </c>
      <c r="Q89" s="67">
        <f t="shared" si="8"/>
        <v>62780</v>
      </c>
    </row>
    <row r="90" spans="1:18" x14ac:dyDescent="0.25">
      <c r="K90" s="37">
        <v>17</v>
      </c>
      <c r="L90" s="77">
        <v>4.25</v>
      </c>
      <c r="M90" s="78">
        <f>M89+ROUND(($M$93-$M$89)/4,0)</f>
        <v>2750</v>
      </c>
      <c r="N90" s="79">
        <f t="shared" si="7"/>
        <v>250</v>
      </c>
      <c r="O90" s="52">
        <f t="shared" si="5"/>
        <v>14</v>
      </c>
      <c r="P90" s="37">
        <f t="shared" si="6"/>
        <v>2800</v>
      </c>
      <c r="Q90" s="67">
        <f t="shared" si="8"/>
        <v>62780</v>
      </c>
    </row>
    <row r="91" spans="1:18" x14ac:dyDescent="0.25">
      <c r="K91" s="37">
        <v>18</v>
      </c>
      <c r="L91" s="77">
        <v>4.5</v>
      </c>
      <c r="M91" s="78">
        <f>M90+ROUND(($M$93-$M$89)/4,0)</f>
        <v>3000</v>
      </c>
      <c r="N91" s="79">
        <f t="shared" si="7"/>
        <v>250</v>
      </c>
      <c r="O91" s="52">
        <f t="shared" si="5"/>
        <v>15</v>
      </c>
      <c r="P91" s="37">
        <f t="shared" si="6"/>
        <v>3000</v>
      </c>
      <c r="Q91" s="67">
        <f t="shared" si="8"/>
        <v>62780</v>
      </c>
    </row>
    <row r="92" spans="1:18" ht="15.6" x14ac:dyDescent="0.3">
      <c r="A92" s="136" t="s">
        <v>153</v>
      </c>
      <c r="B92" s="137"/>
      <c r="C92" s="137"/>
      <c r="D92" s="137"/>
      <c r="E92" s="137"/>
      <c r="F92" s="137"/>
      <c r="G92" s="137"/>
      <c r="H92" s="137"/>
      <c r="K92" s="37">
        <v>19</v>
      </c>
      <c r="L92" s="77">
        <v>4.75</v>
      </c>
      <c r="M92" s="78">
        <f>M91+ROUND(($M$93-$M$89)/4,0)</f>
        <v>3250</v>
      </c>
      <c r="N92" s="79">
        <f t="shared" si="7"/>
        <v>250</v>
      </c>
      <c r="O92" s="52">
        <f t="shared" si="5"/>
        <v>17</v>
      </c>
      <c r="P92" s="37">
        <f t="shared" si="6"/>
        <v>3400</v>
      </c>
      <c r="Q92" s="67">
        <f t="shared" si="8"/>
        <v>125560</v>
      </c>
    </row>
    <row r="93" spans="1:18" x14ac:dyDescent="0.25">
      <c r="A93" s="137"/>
      <c r="B93" s="137"/>
      <c r="C93" s="137"/>
      <c r="D93" s="137"/>
      <c r="E93" s="137"/>
      <c r="F93" s="137"/>
      <c r="G93" s="137"/>
      <c r="H93" s="137"/>
      <c r="K93" s="37">
        <v>20</v>
      </c>
      <c r="L93" s="77">
        <v>5</v>
      </c>
      <c r="M93" s="80">
        <v>3500</v>
      </c>
      <c r="N93" s="79">
        <f t="shared" si="7"/>
        <v>250</v>
      </c>
      <c r="O93" s="52">
        <f t="shared" si="5"/>
        <v>18</v>
      </c>
      <c r="P93" s="37">
        <f t="shared" si="6"/>
        <v>3600</v>
      </c>
      <c r="Q93" s="67">
        <f t="shared" si="8"/>
        <v>62780</v>
      </c>
    </row>
    <row r="94" spans="1:18" x14ac:dyDescent="0.25">
      <c r="A94" s="138"/>
      <c r="B94" s="138" t="s">
        <v>14</v>
      </c>
      <c r="C94" s="138"/>
      <c r="D94" s="138"/>
      <c r="E94" s="138"/>
      <c r="F94" s="138"/>
      <c r="G94" s="139"/>
      <c r="H94" s="137"/>
    </row>
    <row r="95" spans="1:18" x14ac:dyDescent="0.25">
      <c r="A95" s="138"/>
      <c r="B95" s="138"/>
      <c r="C95" s="138"/>
      <c r="D95" s="140" t="s">
        <v>5</v>
      </c>
      <c r="E95" s="140" t="s">
        <v>6</v>
      </c>
      <c r="F95" s="140" t="s">
        <v>24</v>
      </c>
      <c r="G95" s="140"/>
      <c r="H95" s="137"/>
    </row>
    <row r="96" spans="1:18" x14ac:dyDescent="0.25">
      <c r="A96" s="138"/>
      <c r="B96" s="138" t="s">
        <v>17</v>
      </c>
      <c r="C96" s="141" t="s">
        <v>8</v>
      </c>
      <c r="D96" s="139">
        <v>12</v>
      </c>
      <c r="E96" s="142">
        <f>E38</f>
        <v>48</v>
      </c>
      <c r="F96" s="139">
        <f>E96*D96</f>
        <v>576</v>
      </c>
      <c r="G96" s="139"/>
      <c r="H96" s="137"/>
      <c r="L96" s="38" t="s">
        <v>149</v>
      </c>
      <c r="R96"/>
    </row>
    <row r="97" spans="1:24" x14ac:dyDescent="0.25">
      <c r="A97" s="138"/>
      <c r="B97" s="138" t="s">
        <v>193</v>
      </c>
      <c r="C97" s="141" t="s">
        <v>9</v>
      </c>
      <c r="D97" s="139">
        <v>15</v>
      </c>
      <c r="E97" s="142">
        <f>E39</f>
        <v>80</v>
      </c>
      <c r="F97" s="139">
        <f>E97*D97</f>
        <v>1200</v>
      </c>
      <c r="G97" s="139"/>
      <c r="H97" s="137"/>
      <c r="P97"/>
      <c r="Q97" s="27"/>
    </row>
    <row r="98" spans="1:24" ht="31.8" customHeight="1" x14ac:dyDescent="0.25">
      <c r="A98" s="138"/>
      <c r="B98" s="138" t="s">
        <v>18</v>
      </c>
      <c r="C98" s="141" t="s">
        <v>116</v>
      </c>
      <c r="D98" s="139">
        <v>22</v>
      </c>
      <c r="E98" s="142">
        <f>E40</f>
        <v>32</v>
      </c>
      <c r="F98" s="139">
        <f>E98*D98</f>
        <v>704</v>
      </c>
      <c r="G98" s="139"/>
      <c r="H98" s="137"/>
      <c r="K98" s="37" t="s">
        <v>91</v>
      </c>
      <c r="L98" s="37" t="s">
        <v>50</v>
      </c>
      <c r="M98" s="37" t="s">
        <v>48</v>
      </c>
      <c r="N98" s="38" t="s">
        <v>51</v>
      </c>
      <c r="O98" s="99" t="s">
        <v>182</v>
      </c>
      <c r="P98" s="99" t="s">
        <v>184</v>
      </c>
      <c r="Q98" s="99" t="s">
        <v>177</v>
      </c>
      <c r="R98" s="101" t="s">
        <v>183</v>
      </c>
      <c r="S98" s="101" t="s">
        <v>185</v>
      </c>
      <c r="T98" s="101" t="s">
        <v>186</v>
      </c>
      <c r="U98" s="100" t="s">
        <v>180</v>
      </c>
      <c r="V98" s="27" t="s">
        <v>181</v>
      </c>
      <c r="W98" s="101" t="s">
        <v>188</v>
      </c>
      <c r="X98" s="27"/>
    </row>
    <row r="99" spans="1:24" x14ac:dyDescent="0.25">
      <c r="A99" s="138"/>
      <c r="B99" s="138"/>
      <c r="C99" s="141"/>
      <c r="D99" s="139"/>
      <c r="E99" s="142"/>
      <c r="F99" s="139"/>
      <c r="G99" s="139"/>
      <c r="H99" s="137"/>
      <c r="K99" s="37">
        <v>1</v>
      </c>
      <c r="L99" s="77">
        <v>0.5</v>
      </c>
      <c r="M99" s="78">
        <f>$M$102*L99</f>
        <v>66</v>
      </c>
      <c r="N99" s="37">
        <v>0</v>
      </c>
      <c r="O99" s="27">
        <v>132</v>
      </c>
      <c r="P99" s="102">
        <v>33</v>
      </c>
      <c r="Q99" s="79">
        <f>N100</f>
        <v>66</v>
      </c>
      <c r="R99" s="37">
        <v>132</v>
      </c>
      <c r="S99" s="37">
        <f t="shared" ref="S99:S118" si="9">VLOOKUP(U99+1,Step,2,FALSE)</f>
        <v>200</v>
      </c>
      <c r="T99" s="37">
        <v>0</v>
      </c>
      <c r="U99" s="52">
        <v>1</v>
      </c>
      <c r="V99" s="37">
        <f>VLOOKUP(U99,$J$122:$O$161,6,FALSE)</f>
        <v>48510</v>
      </c>
      <c r="W99" s="67">
        <f>V99</f>
        <v>48510</v>
      </c>
    </row>
    <row r="100" spans="1:24" x14ac:dyDescent="0.25">
      <c r="A100" s="138"/>
      <c r="B100" s="138" t="s">
        <v>13</v>
      </c>
      <c r="C100" s="138"/>
      <c r="D100" s="139"/>
      <c r="E100" s="142"/>
      <c r="F100" s="139"/>
      <c r="G100" s="139"/>
      <c r="H100" s="137"/>
      <c r="K100" s="37">
        <v>2</v>
      </c>
      <c r="L100" s="77">
        <v>1</v>
      </c>
      <c r="M100" s="78">
        <f t="shared" ref="M100" si="10">$M$102*L100</f>
        <v>132</v>
      </c>
      <c r="N100" s="79">
        <f t="shared" ref="N100:N118" si="11">M100-M99</f>
        <v>66</v>
      </c>
      <c r="O100" s="79">
        <f>R99</f>
        <v>132</v>
      </c>
      <c r="P100" s="79">
        <f>Q99+P99</f>
        <v>99</v>
      </c>
      <c r="Q100" s="79">
        <f>N101</f>
        <v>0</v>
      </c>
      <c r="R100" s="52">
        <f t="shared" ref="R100:R118" si="12">VLOOKUP(U99+T100,Step,2,FALSE)</f>
        <v>132</v>
      </c>
      <c r="S100" s="37">
        <f t="shared" si="9"/>
        <v>200</v>
      </c>
      <c r="T100" s="52">
        <f>IF(P100+Q100&lt;O100,0,1)</f>
        <v>0</v>
      </c>
      <c r="U100" s="52">
        <f>U99+T100</f>
        <v>1</v>
      </c>
      <c r="V100" s="37">
        <f>VLOOKUP(U100,$J$122:$O$161,6,FALSE)</f>
        <v>48510</v>
      </c>
      <c r="W100" s="67">
        <f>V100-V99</f>
        <v>0</v>
      </c>
      <c r="X100" s="52"/>
    </row>
    <row r="101" spans="1:24" ht="15" x14ac:dyDescent="0.25">
      <c r="A101" s="138"/>
      <c r="B101" s="138" t="s">
        <v>19</v>
      </c>
      <c r="C101" s="141" t="s">
        <v>118</v>
      </c>
      <c r="D101" s="139">
        <v>39</v>
      </c>
      <c r="E101" s="143">
        <f>E43</f>
        <v>40</v>
      </c>
      <c r="F101" s="144">
        <f>E101*D101</f>
        <v>1560</v>
      </c>
      <c r="G101" s="145"/>
      <c r="H101" s="137"/>
      <c r="K101" s="37">
        <v>3</v>
      </c>
      <c r="L101" s="77">
        <v>1</v>
      </c>
      <c r="M101" s="78">
        <f>$M$102*L101</f>
        <v>132</v>
      </c>
      <c r="N101" s="79">
        <f t="shared" si="11"/>
        <v>0</v>
      </c>
      <c r="O101" s="79">
        <f t="shared" ref="O101:O105" si="13">R100</f>
        <v>132</v>
      </c>
      <c r="P101" s="79">
        <f t="shared" ref="P101:P105" si="14">Q100+P100</f>
        <v>99</v>
      </c>
      <c r="Q101" s="79">
        <f t="shared" ref="Q101:Q105" si="15">N102</f>
        <v>0</v>
      </c>
      <c r="R101" s="52">
        <f t="shared" si="12"/>
        <v>132</v>
      </c>
      <c r="S101" s="37">
        <f t="shared" si="9"/>
        <v>200</v>
      </c>
      <c r="T101" s="52">
        <f t="shared" ref="T101:T105" si="16">IF(P101+Q101&lt;O101,0,1)</f>
        <v>0</v>
      </c>
      <c r="U101" s="52">
        <f t="shared" ref="U101:U105" si="17">U100+T101</f>
        <v>1</v>
      </c>
      <c r="V101" s="37">
        <f t="shared" ref="V101:V118" si="18">VLOOKUP(U101,$J$122:$O$161,6,FALSE)</f>
        <v>48510</v>
      </c>
      <c r="W101" s="67">
        <f t="shared" ref="W101:W118" si="19">V101-V100</f>
        <v>0</v>
      </c>
      <c r="X101" s="52"/>
    </row>
    <row r="102" spans="1:24" x14ac:dyDescent="0.25">
      <c r="A102" s="138"/>
      <c r="B102" s="138"/>
      <c r="C102" s="141"/>
      <c r="D102" s="138"/>
      <c r="E102" s="146">
        <f>SUM(E96:E101)</f>
        <v>200</v>
      </c>
      <c r="F102" s="147">
        <f>SUM(F96:F101)</f>
        <v>4040</v>
      </c>
      <c r="G102" s="147"/>
      <c r="H102" s="137"/>
      <c r="K102" s="37">
        <v>4</v>
      </c>
      <c r="L102" s="77">
        <v>1</v>
      </c>
      <c r="M102" s="80">
        <f>'Macro Light'!C7</f>
        <v>132</v>
      </c>
      <c r="N102" s="79">
        <f t="shared" si="11"/>
        <v>0</v>
      </c>
      <c r="O102" s="79">
        <f t="shared" si="13"/>
        <v>132</v>
      </c>
      <c r="P102" s="79">
        <f t="shared" si="14"/>
        <v>99</v>
      </c>
      <c r="Q102" s="79">
        <f t="shared" si="15"/>
        <v>33</v>
      </c>
      <c r="R102" s="52">
        <f t="shared" si="12"/>
        <v>200</v>
      </c>
      <c r="S102" s="37">
        <f t="shared" si="9"/>
        <v>332</v>
      </c>
      <c r="T102" s="52">
        <f t="shared" si="16"/>
        <v>1</v>
      </c>
      <c r="U102" s="52">
        <f t="shared" si="17"/>
        <v>2</v>
      </c>
      <c r="V102" s="37">
        <f t="shared" si="18"/>
        <v>67403</v>
      </c>
      <c r="W102" s="67">
        <f t="shared" si="19"/>
        <v>18893</v>
      </c>
      <c r="X102" s="52"/>
    </row>
    <row r="103" spans="1:24" x14ac:dyDescent="0.25">
      <c r="A103" s="138"/>
      <c r="B103" s="137"/>
      <c r="C103" s="137"/>
      <c r="D103" s="137"/>
      <c r="E103" s="137"/>
      <c r="F103" s="137"/>
      <c r="G103" s="147"/>
      <c r="H103" s="137"/>
      <c r="K103" s="37">
        <v>5</v>
      </c>
      <c r="L103" s="77">
        <v>1.25</v>
      </c>
      <c r="M103" s="78">
        <f>ROUND(($M$106-$M$102)/4,0)+M102</f>
        <v>165</v>
      </c>
      <c r="N103" s="79">
        <f t="shared" si="11"/>
        <v>33</v>
      </c>
      <c r="O103" s="79">
        <f t="shared" si="13"/>
        <v>200</v>
      </c>
      <c r="P103" s="79">
        <f t="shared" si="14"/>
        <v>132</v>
      </c>
      <c r="Q103" s="79">
        <f t="shared" si="15"/>
        <v>33</v>
      </c>
      <c r="R103" s="52">
        <f t="shared" si="12"/>
        <v>200</v>
      </c>
      <c r="S103" s="37">
        <f t="shared" si="9"/>
        <v>332</v>
      </c>
      <c r="T103" s="52">
        <f t="shared" si="16"/>
        <v>0</v>
      </c>
      <c r="U103" s="52">
        <f t="shared" si="17"/>
        <v>2</v>
      </c>
      <c r="V103" s="37">
        <f t="shared" si="18"/>
        <v>67403</v>
      </c>
      <c r="W103" s="67">
        <f t="shared" si="19"/>
        <v>0</v>
      </c>
      <c r="X103" s="52"/>
    </row>
    <row r="104" spans="1:24" x14ac:dyDescent="0.25">
      <c r="A104" s="138"/>
      <c r="B104" s="137" t="s">
        <v>86</v>
      </c>
      <c r="C104" s="137"/>
      <c r="D104" s="137"/>
      <c r="E104" s="137"/>
      <c r="F104" s="137"/>
      <c r="G104" s="147"/>
      <c r="H104" s="137"/>
      <c r="K104" s="37">
        <v>6</v>
      </c>
      <c r="L104" s="77">
        <v>1.5</v>
      </c>
      <c r="M104" s="78">
        <f t="shared" ref="M104:M105" si="20">ROUND(($M$106-$M$102)/4,0)+M103</f>
        <v>198</v>
      </c>
      <c r="N104" s="79">
        <f t="shared" si="11"/>
        <v>33</v>
      </c>
      <c r="O104" s="79">
        <f t="shared" si="13"/>
        <v>200</v>
      </c>
      <c r="P104" s="79">
        <f t="shared" si="14"/>
        <v>165</v>
      </c>
      <c r="Q104" s="79">
        <f t="shared" si="15"/>
        <v>33</v>
      </c>
      <c r="R104" s="52">
        <f t="shared" si="12"/>
        <v>200</v>
      </c>
      <c r="S104" s="37">
        <f t="shared" si="9"/>
        <v>332</v>
      </c>
      <c r="T104" s="52">
        <f t="shared" si="16"/>
        <v>0</v>
      </c>
      <c r="U104" s="52">
        <f t="shared" si="17"/>
        <v>2</v>
      </c>
      <c r="V104" s="37">
        <f t="shared" si="18"/>
        <v>67403</v>
      </c>
      <c r="W104" s="67">
        <f t="shared" si="19"/>
        <v>0</v>
      </c>
      <c r="X104" s="52"/>
    </row>
    <row r="105" spans="1:24" x14ac:dyDescent="0.25">
      <c r="A105" s="138"/>
      <c r="B105" s="137"/>
      <c r="C105" s="137"/>
      <c r="D105" s="137"/>
      <c r="E105" s="137"/>
      <c r="F105" s="137"/>
      <c r="G105" s="147"/>
      <c r="H105" s="137"/>
      <c r="K105" s="37">
        <v>7</v>
      </c>
      <c r="L105" s="77">
        <v>1.75</v>
      </c>
      <c r="M105" s="78">
        <f t="shared" si="20"/>
        <v>231</v>
      </c>
      <c r="N105" s="79">
        <f t="shared" si="11"/>
        <v>33</v>
      </c>
      <c r="O105" s="79">
        <f t="shared" si="13"/>
        <v>200</v>
      </c>
      <c r="P105" s="79">
        <f t="shared" si="14"/>
        <v>198</v>
      </c>
      <c r="Q105" s="79">
        <f t="shared" si="15"/>
        <v>33</v>
      </c>
      <c r="R105" s="52">
        <f t="shared" si="12"/>
        <v>332</v>
      </c>
      <c r="S105" s="37">
        <f t="shared" si="9"/>
        <v>400</v>
      </c>
      <c r="T105" s="52">
        <f t="shared" si="16"/>
        <v>1</v>
      </c>
      <c r="U105" s="52">
        <f t="shared" si="17"/>
        <v>3</v>
      </c>
      <c r="V105" s="37">
        <f t="shared" si="18"/>
        <v>115913</v>
      </c>
      <c r="W105" s="67">
        <f t="shared" si="19"/>
        <v>48510</v>
      </c>
      <c r="X105" s="52"/>
    </row>
    <row r="106" spans="1:24" x14ac:dyDescent="0.25">
      <c r="A106" s="137"/>
      <c r="B106" s="138" t="s">
        <v>14</v>
      </c>
      <c r="C106" s="137"/>
      <c r="D106" s="137"/>
      <c r="E106" s="137"/>
      <c r="F106" s="137"/>
      <c r="G106" s="137"/>
      <c r="H106" s="137"/>
      <c r="K106" s="37">
        <v>8</v>
      </c>
      <c r="L106" s="77">
        <v>2</v>
      </c>
      <c r="M106" s="80">
        <f>'Macro Light'!D7</f>
        <v>264</v>
      </c>
      <c r="N106" s="79">
        <f t="shared" si="11"/>
        <v>33</v>
      </c>
      <c r="O106" s="79">
        <f t="shared" ref="O106:O118" si="21">R105</f>
        <v>332</v>
      </c>
      <c r="P106" s="79">
        <f t="shared" ref="P106:P118" si="22">Q105+P105</f>
        <v>231</v>
      </c>
      <c r="Q106" s="79">
        <f t="shared" ref="Q106:Q118" si="23">N107</f>
        <v>54</v>
      </c>
      <c r="R106" s="52">
        <f t="shared" si="12"/>
        <v>332</v>
      </c>
      <c r="S106" s="37">
        <f t="shared" si="9"/>
        <v>400</v>
      </c>
      <c r="T106" s="52">
        <f t="shared" ref="T106:T118" si="24">IF(P106+Q106&lt;O106,0,1)</f>
        <v>0</v>
      </c>
      <c r="U106" s="52">
        <f t="shared" ref="U106:U118" si="25">U105+T106</f>
        <v>3</v>
      </c>
      <c r="V106" s="37">
        <f t="shared" si="18"/>
        <v>115913</v>
      </c>
      <c r="W106" s="67">
        <f t="shared" si="19"/>
        <v>0</v>
      </c>
      <c r="X106" s="52"/>
    </row>
    <row r="107" spans="1:24" x14ac:dyDescent="0.25">
      <c r="A107" s="137"/>
      <c r="B107" s="138"/>
      <c r="C107" s="137"/>
      <c r="D107" s="137"/>
      <c r="E107" s="137"/>
      <c r="F107" s="137"/>
      <c r="G107" s="137"/>
      <c r="H107" s="137"/>
      <c r="K107" s="37">
        <v>9</v>
      </c>
      <c r="L107" s="77">
        <v>2.25</v>
      </c>
      <c r="M107" s="78">
        <f>M106+ROUND(($M$110-$M$106)/4,0)</f>
        <v>318</v>
      </c>
      <c r="N107" s="79">
        <f t="shared" si="11"/>
        <v>54</v>
      </c>
      <c r="O107" s="79">
        <f t="shared" si="21"/>
        <v>332</v>
      </c>
      <c r="P107" s="79">
        <f t="shared" si="22"/>
        <v>285</v>
      </c>
      <c r="Q107" s="79">
        <f t="shared" si="23"/>
        <v>54</v>
      </c>
      <c r="R107" s="52">
        <f t="shared" si="12"/>
        <v>400</v>
      </c>
      <c r="S107" s="37">
        <f t="shared" si="9"/>
        <v>532</v>
      </c>
      <c r="T107" s="52">
        <f t="shared" si="24"/>
        <v>1</v>
      </c>
      <c r="U107" s="52">
        <f t="shared" si="25"/>
        <v>4</v>
      </c>
      <c r="V107" s="37">
        <f t="shared" si="18"/>
        <v>134806</v>
      </c>
      <c r="W107" s="67">
        <f t="shared" si="19"/>
        <v>18893</v>
      </c>
      <c r="X107" s="52"/>
    </row>
    <row r="108" spans="1:24" x14ac:dyDescent="0.25">
      <c r="A108" s="137"/>
      <c r="B108" s="138" t="s">
        <v>17</v>
      </c>
      <c r="C108" s="137"/>
      <c r="D108" s="148">
        <v>1</v>
      </c>
      <c r="E108" s="149">
        <f>E48</f>
        <v>12</v>
      </c>
      <c r="F108" s="148">
        <f>E108*D108</f>
        <v>12</v>
      </c>
      <c r="G108" s="137"/>
      <c r="H108" s="137"/>
      <c r="K108" s="37">
        <v>10</v>
      </c>
      <c r="L108" s="77">
        <v>2.5</v>
      </c>
      <c r="M108" s="78">
        <f t="shared" ref="M108:M109" si="26">M107+ROUND(($M$110-$M$106)/4,0)</f>
        <v>372</v>
      </c>
      <c r="N108" s="79">
        <f t="shared" si="11"/>
        <v>54</v>
      </c>
      <c r="O108" s="79">
        <f t="shared" si="21"/>
        <v>400</v>
      </c>
      <c r="P108" s="79">
        <f t="shared" si="22"/>
        <v>339</v>
      </c>
      <c r="Q108" s="79">
        <f t="shared" si="23"/>
        <v>54</v>
      </c>
      <c r="R108" s="52">
        <f t="shared" si="12"/>
        <v>400</v>
      </c>
      <c r="S108" s="37">
        <f t="shared" si="9"/>
        <v>532</v>
      </c>
      <c r="T108" s="52">
        <f t="shared" si="24"/>
        <v>0</v>
      </c>
      <c r="U108" s="52">
        <f t="shared" si="25"/>
        <v>4</v>
      </c>
      <c r="V108" s="37">
        <f t="shared" si="18"/>
        <v>134806</v>
      </c>
      <c r="W108" s="67">
        <f t="shared" si="19"/>
        <v>0</v>
      </c>
      <c r="X108" s="52"/>
    </row>
    <row r="109" spans="1:24" x14ac:dyDescent="0.25">
      <c r="A109" s="137"/>
      <c r="B109" s="138" t="s">
        <v>36</v>
      </c>
      <c r="C109" s="137"/>
      <c r="D109" s="148">
        <v>1</v>
      </c>
      <c r="E109" s="149">
        <f>E49</f>
        <v>20</v>
      </c>
      <c r="F109" s="148">
        <f>E109*D109</f>
        <v>20</v>
      </c>
      <c r="G109" s="137"/>
      <c r="H109" s="137"/>
      <c r="K109" s="37">
        <v>11</v>
      </c>
      <c r="L109" s="77">
        <v>2.75</v>
      </c>
      <c r="M109" s="78">
        <f t="shared" si="26"/>
        <v>426</v>
      </c>
      <c r="N109" s="79">
        <f t="shared" si="11"/>
        <v>54</v>
      </c>
      <c r="O109" s="79">
        <f t="shared" si="21"/>
        <v>400</v>
      </c>
      <c r="P109" s="79">
        <f t="shared" si="22"/>
        <v>393</v>
      </c>
      <c r="Q109" s="79">
        <f t="shared" si="23"/>
        <v>54</v>
      </c>
      <c r="R109" s="52">
        <f t="shared" si="12"/>
        <v>532</v>
      </c>
      <c r="S109" s="37">
        <f t="shared" si="9"/>
        <v>600</v>
      </c>
      <c r="T109" s="52">
        <f t="shared" si="24"/>
        <v>1</v>
      </c>
      <c r="U109" s="52">
        <f t="shared" si="25"/>
        <v>5</v>
      </c>
      <c r="V109" s="37">
        <f t="shared" si="18"/>
        <v>183316</v>
      </c>
      <c r="W109" s="67">
        <f t="shared" si="19"/>
        <v>48510</v>
      </c>
      <c r="X109" s="52"/>
    </row>
    <row r="110" spans="1:24" x14ac:dyDescent="0.25">
      <c r="A110" s="137"/>
      <c r="B110" s="138" t="s">
        <v>18</v>
      </c>
      <c r="C110" s="137"/>
      <c r="D110" s="148">
        <v>1</v>
      </c>
      <c r="E110" s="149">
        <f>E50</f>
        <v>8</v>
      </c>
      <c r="F110" s="148">
        <f>E110*D110</f>
        <v>8</v>
      </c>
      <c r="G110" s="137"/>
      <c r="H110" s="137"/>
      <c r="K110" s="37">
        <v>12</v>
      </c>
      <c r="L110" s="77">
        <v>3</v>
      </c>
      <c r="M110" s="80">
        <f>'Macro Light'!E7</f>
        <v>480</v>
      </c>
      <c r="N110" s="79">
        <f t="shared" si="11"/>
        <v>54</v>
      </c>
      <c r="O110" s="79">
        <f t="shared" si="21"/>
        <v>532</v>
      </c>
      <c r="P110" s="79">
        <f t="shared" si="22"/>
        <v>447</v>
      </c>
      <c r="Q110" s="79">
        <f t="shared" si="23"/>
        <v>120</v>
      </c>
      <c r="R110" s="52">
        <f t="shared" si="12"/>
        <v>600</v>
      </c>
      <c r="S110" s="37">
        <f t="shared" si="9"/>
        <v>732</v>
      </c>
      <c r="T110" s="52">
        <f t="shared" si="24"/>
        <v>1</v>
      </c>
      <c r="U110" s="52">
        <f t="shared" si="25"/>
        <v>6</v>
      </c>
      <c r="V110" s="37">
        <f t="shared" si="18"/>
        <v>202209</v>
      </c>
      <c r="W110" s="67">
        <f t="shared" si="19"/>
        <v>18893</v>
      </c>
      <c r="X110" s="52"/>
    </row>
    <row r="111" spans="1:24" x14ac:dyDescent="0.25">
      <c r="A111" s="137"/>
      <c r="B111" s="138"/>
      <c r="C111" s="137"/>
      <c r="D111" s="148"/>
      <c r="E111" s="137"/>
      <c r="F111" s="148"/>
      <c r="G111" s="137"/>
      <c r="H111" s="137"/>
      <c r="K111" s="37">
        <v>13</v>
      </c>
      <c r="L111" s="77">
        <v>3.25</v>
      </c>
      <c r="M111" s="78">
        <f>M110+ROUND(($M$114-$M$110)/4,0)</f>
        <v>600</v>
      </c>
      <c r="N111" s="79">
        <f t="shared" si="11"/>
        <v>120</v>
      </c>
      <c r="O111" s="79">
        <f t="shared" si="21"/>
        <v>600</v>
      </c>
      <c r="P111" s="79">
        <f t="shared" si="22"/>
        <v>567</v>
      </c>
      <c r="Q111" s="79">
        <f t="shared" si="23"/>
        <v>120</v>
      </c>
      <c r="R111" s="52">
        <f t="shared" si="12"/>
        <v>732</v>
      </c>
      <c r="S111" s="37">
        <f t="shared" si="9"/>
        <v>800</v>
      </c>
      <c r="T111" s="52">
        <f t="shared" si="24"/>
        <v>1</v>
      </c>
      <c r="U111" s="52">
        <f t="shared" si="25"/>
        <v>7</v>
      </c>
      <c r="V111" s="37">
        <f t="shared" si="18"/>
        <v>250719</v>
      </c>
      <c r="W111" s="67">
        <f t="shared" si="19"/>
        <v>48510</v>
      </c>
      <c r="X111" s="52"/>
    </row>
    <row r="112" spans="1:24" x14ac:dyDescent="0.25">
      <c r="A112" s="137"/>
      <c r="B112" s="138" t="s">
        <v>13</v>
      </c>
      <c r="C112" s="137"/>
      <c r="D112" s="148"/>
      <c r="E112" s="137"/>
      <c r="F112" s="148"/>
      <c r="G112" s="137"/>
      <c r="H112" s="137"/>
      <c r="K112" s="37">
        <v>14</v>
      </c>
      <c r="L112" s="77">
        <v>3.5</v>
      </c>
      <c r="M112" s="78">
        <f t="shared" ref="M112:M113" si="27">M111+ROUND(($M$114-$M$110)/4,0)</f>
        <v>720</v>
      </c>
      <c r="N112" s="79">
        <f t="shared" si="11"/>
        <v>120</v>
      </c>
      <c r="O112" s="79">
        <f t="shared" si="21"/>
        <v>732</v>
      </c>
      <c r="P112" s="79">
        <f t="shared" si="22"/>
        <v>687</v>
      </c>
      <c r="Q112" s="79">
        <f t="shared" si="23"/>
        <v>120</v>
      </c>
      <c r="R112" s="52">
        <f t="shared" si="12"/>
        <v>800</v>
      </c>
      <c r="S112" s="37">
        <f t="shared" si="9"/>
        <v>932</v>
      </c>
      <c r="T112" s="52">
        <f t="shared" si="24"/>
        <v>1</v>
      </c>
      <c r="U112" s="52">
        <f t="shared" si="25"/>
        <v>8</v>
      </c>
      <c r="V112" s="37">
        <f t="shared" si="18"/>
        <v>269612</v>
      </c>
      <c r="W112" s="67">
        <f t="shared" si="19"/>
        <v>18893</v>
      </c>
      <c r="X112" s="52"/>
    </row>
    <row r="113" spans="1:24" x14ac:dyDescent="0.25">
      <c r="A113" s="137"/>
      <c r="B113" s="138" t="s">
        <v>19</v>
      </c>
      <c r="C113" s="137"/>
      <c r="D113" s="148">
        <v>1</v>
      </c>
      <c r="E113" s="149">
        <f>E53</f>
        <v>0</v>
      </c>
      <c r="F113" s="150">
        <f>E113*D113</f>
        <v>0</v>
      </c>
      <c r="G113" s="137"/>
      <c r="H113" s="137"/>
      <c r="K113" s="37">
        <v>15</v>
      </c>
      <c r="L113" s="77">
        <v>3.75</v>
      </c>
      <c r="M113" s="78">
        <f t="shared" si="27"/>
        <v>840</v>
      </c>
      <c r="N113" s="79">
        <f t="shared" si="11"/>
        <v>120</v>
      </c>
      <c r="O113" s="79">
        <f t="shared" si="21"/>
        <v>800</v>
      </c>
      <c r="P113" s="79">
        <f t="shared" si="22"/>
        <v>807</v>
      </c>
      <c r="Q113" s="79">
        <f t="shared" si="23"/>
        <v>120</v>
      </c>
      <c r="R113" s="52">
        <f t="shared" si="12"/>
        <v>932</v>
      </c>
      <c r="S113" s="37">
        <f t="shared" si="9"/>
        <v>1000</v>
      </c>
      <c r="T113" s="52">
        <f t="shared" si="24"/>
        <v>1</v>
      </c>
      <c r="U113" s="52">
        <f t="shared" si="25"/>
        <v>9</v>
      </c>
      <c r="V113" s="37">
        <f t="shared" si="18"/>
        <v>318122</v>
      </c>
      <c r="W113" s="67">
        <f t="shared" si="19"/>
        <v>48510</v>
      </c>
      <c r="X113" s="52"/>
    </row>
    <row r="114" spans="1:24" x14ac:dyDescent="0.25">
      <c r="A114" s="137"/>
      <c r="B114" s="137"/>
      <c r="C114" s="137"/>
      <c r="D114" s="137"/>
      <c r="E114" s="137"/>
      <c r="F114" s="148">
        <f>SUM(F108:F113)</f>
        <v>40</v>
      </c>
      <c r="G114" s="137"/>
      <c r="H114" s="137"/>
      <c r="K114" s="37">
        <v>16</v>
      </c>
      <c r="L114" s="77">
        <v>4</v>
      </c>
      <c r="M114" s="80">
        <f>'Macro Light'!F7</f>
        <v>960</v>
      </c>
      <c r="N114" s="79">
        <f t="shared" si="11"/>
        <v>120</v>
      </c>
      <c r="O114" s="79">
        <f t="shared" si="21"/>
        <v>932</v>
      </c>
      <c r="P114" s="79">
        <f t="shared" si="22"/>
        <v>927</v>
      </c>
      <c r="Q114" s="79">
        <f t="shared" si="23"/>
        <v>240</v>
      </c>
      <c r="R114" s="52">
        <f t="shared" si="12"/>
        <v>1000</v>
      </c>
      <c r="S114" s="37">
        <f t="shared" si="9"/>
        <v>1132</v>
      </c>
      <c r="T114" s="52">
        <f t="shared" si="24"/>
        <v>1</v>
      </c>
      <c r="U114" s="52">
        <f t="shared" si="25"/>
        <v>10</v>
      </c>
      <c r="V114" s="37">
        <f t="shared" si="18"/>
        <v>337015</v>
      </c>
      <c r="W114" s="67">
        <f t="shared" si="19"/>
        <v>18893</v>
      </c>
      <c r="X114" s="52"/>
    </row>
    <row r="115" spans="1:24" x14ac:dyDescent="0.25">
      <c r="A115" s="137"/>
      <c r="B115" s="137"/>
      <c r="C115" s="137"/>
      <c r="D115" s="137"/>
      <c r="E115" s="137">
        <v>200</v>
      </c>
      <c r="F115" s="147">
        <f>F102+F114</f>
        <v>4080</v>
      </c>
      <c r="G115" s="137"/>
      <c r="H115" s="137"/>
      <c r="K115" s="37">
        <v>17</v>
      </c>
      <c r="L115" s="77">
        <v>4.25</v>
      </c>
      <c r="M115" s="78">
        <f>M114+ROUND(($M$118-$M$114)/4,0)</f>
        <v>1200</v>
      </c>
      <c r="N115" s="79">
        <f t="shared" si="11"/>
        <v>240</v>
      </c>
      <c r="O115" s="79">
        <f t="shared" si="21"/>
        <v>1000</v>
      </c>
      <c r="P115" s="79">
        <f t="shared" si="22"/>
        <v>1167</v>
      </c>
      <c r="Q115" s="79">
        <f t="shared" si="23"/>
        <v>240</v>
      </c>
      <c r="R115" s="52">
        <f t="shared" si="12"/>
        <v>1132</v>
      </c>
      <c r="S115" s="37">
        <f t="shared" si="9"/>
        <v>1200</v>
      </c>
      <c r="T115" s="52">
        <f t="shared" si="24"/>
        <v>1</v>
      </c>
      <c r="U115" s="52">
        <f t="shared" si="25"/>
        <v>11</v>
      </c>
      <c r="V115" s="37">
        <f t="shared" si="18"/>
        <v>385525</v>
      </c>
      <c r="W115" s="67">
        <f t="shared" si="19"/>
        <v>48510</v>
      </c>
      <c r="X115" s="52"/>
    </row>
    <row r="116" spans="1:24" ht="15" x14ac:dyDescent="0.25">
      <c r="A116" s="137"/>
      <c r="B116" s="138" t="s">
        <v>137</v>
      </c>
      <c r="C116" s="141"/>
      <c r="D116" s="138"/>
      <c r="E116" s="147">
        <f>F115/E102</f>
        <v>20.399999999999999</v>
      </c>
      <c r="F116" s="151"/>
      <c r="G116" s="137"/>
      <c r="H116" s="137"/>
      <c r="K116" s="37">
        <v>18</v>
      </c>
      <c r="L116" s="77">
        <v>4.5</v>
      </c>
      <c r="M116" s="78">
        <f t="shared" ref="M116:M117" si="28">M115+ROUND(($M$118-$M$114)/4,0)</f>
        <v>1440</v>
      </c>
      <c r="N116" s="79">
        <f t="shared" si="11"/>
        <v>240</v>
      </c>
      <c r="O116" s="79">
        <f t="shared" si="21"/>
        <v>1132</v>
      </c>
      <c r="P116" s="79">
        <f t="shared" si="22"/>
        <v>1407</v>
      </c>
      <c r="Q116" s="79">
        <f t="shared" si="23"/>
        <v>240</v>
      </c>
      <c r="R116" s="52">
        <f t="shared" si="12"/>
        <v>1200</v>
      </c>
      <c r="S116" s="37">
        <f t="shared" si="9"/>
        <v>1332</v>
      </c>
      <c r="T116" s="52">
        <f t="shared" si="24"/>
        <v>1</v>
      </c>
      <c r="U116" s="52">
        <f t="shared" si="25"/>
        <v>12</v>
      </c>
      <c r="V116" s="37">
        <f t="shared" si="18"/>
        <v>404418</v>
      </c>
      <c r="W116" s="67">
        <f t="shared" si="19"/>
        <v>18893</v>
      </c>
      <c r="X116" s="52"/>
    </row>
    <row r="117" spans="1:24" x14ac:dyDescent="0.25">
      <c r="A117" s="137"/>
      <c r="B117" s="138"/>
      <c r="C117" s="141"/>
      <c r="D117" s="138"/>
      <c r="E117" s="138"/>
      <c r="F117" s="147"/>
      <c r="G117" s="137"/>
      <c r="H117" s="137"/>
      <c r="K117" s="37">
        <v>19</v>
      </c>
      <c r="L117" s="77">
        <v>4.75</v>
      </c>
      <c r="M117" s="78">
        <f t="shared" si="28"/>
        <v>1680</v>
      </c>
      <c r="N117" s="79">
        <f t="shared" si="11"/>
        <v>240</v>
      </c>
      <c r="O117" s="79">
        <f t="shared" si="21"/>
        <v>1200</v>
      </c>
      <c r="P117" s="79">
        <f t="shared" si="22"/>
        <v>1647</v>
      </c>
      <c r="Q117" s="79">
        <f t="shared" si="23"/>
        <v>240</v>
      </c>
      <c r="R117" s="52">
        <f t="shared" si="12"/>
        <v>1332</v>
      </c>
      <c r="S117" s="37">
        <f t="shared" si="9"/>
        <v>1400</v>
      </c>
      <c r="T117" s="52">
        <f t="shared" si="24"/>
        <v>1</v>
      </c>
      <c r="U117" s="52">
        <f t="shared" si="25"/>
        <v>13</v>
      </c>
      <c r="V117" s="37">
        <f t="shared" si="18"/>
        <v>452928</v>
      </c>
      <c r="W117" s="67">
        <f t="shared" si="19"/>
        <v>48510</v>
      </c>
      <c r="X117" s="52"/>
    </row>
    <row r="118" spans="1:24" x14ac:dyDescent="0.25">
      <c r="A118" s="137"/>
      <c r="B118" s="137" t="s">
        <v>138</v>
      </c>
      <c r="C118" s="137"/>
      <c r="D118" s="137"/>
      <c r="E118" s="137"/>
      <c r="F118" s="137"/>
      <c r="G118" s="137"/>
      <c r="H118" s="137"/>
      <c r="K118" s="37">
        <v>20</v>
      </c>
      <c r="L118" s="77">
        <v>5</v>
      </c>
      <c r="M118" s="80">
        <f>'Macro Light'!G7</f>
        <v>1920</v>
      </c>
      <c r="N118" s="79">
        <f t="shared" si="11"/>
        <v>240</v>
      </c>
      <c r="O118" s="79">
        <f t="shared" si="21"/>
        <v>1332</v>
      </c>
      <c r="P118" s="79">
        <f t="shared" si="22"/>
        <v>1887</v>
      </c>
      <c r="Q118" s="79">
        <f t="shared" si="23"/>
        <v>0</v>
      </c>
      <c r="R118" s="52">
        <f t="shared" si="12"/>
        <v>1400</v>
      </c>
      <c r="S118" s="37">
        <f t="shared" si="9"/>
        <v>1532</v>
      </c>
      <c r="T118" s="52">
        <f t="shared" si="24"/>
        <v>1</v>
      </c>
      <c r="U118" s="52">
        <f t="shared" si="25"/>
        <v>14</v>
      </c>
      <c r="V118" s="37">
        <f t="shared" si="18"/>
        <v>471821</v>
      </c>
      <c r="W118" s="67">
        <f t="shared" si="19"/>
        <v>18893</v>
      </c>
      <c r="X118" s="52"/>
    </row>
    <row r="119" spans="1:24" x14ac:dyDescent="0.25">
      <c r="B119" s="38"/>
    </row>
    <row r="120" spans="1:24" ht="35.549999999999997" customHeight="1" x14ac:dyDescent="0.3">
      <c r="A120" s="36" t="s">
        <v>161</v>
      </c>
      <c r="M120" s="209" t="s">
        <v>176</v>
      </c>
      <c r="N120" s="210"/>
    </row>
    <row r="121" spans="1:24" x14ac:dyDescent="0.25">
      <c r="J121" s="27" t="s">
        <v>175</v>
      </c>
      <c r="K121" s="27" t="s">
        <v>45</v>
      </c>
      <c r="L121" s="27" t="s">
        <v>173</v>
      </c>
      <c r="M121" s="27" t="s">
        <v>158</v>
      </c>
      <c r="N121" s="27" t="s">
        <v>174</v>
      </c>
      <c r="O121" s="27" t="s">
        <v>178</v>
      </c>
    </row>
    <row r="122" spans="1:24" x14ac:dyDescent="0.25">
      <c r="A122" s="56"/>
      <c r="B122" s="56" t="s">
        <v>14</v>
      </c>
      <c r="C122" s="56"/>
      <c r="D122" s="56"/>
      <c r="E122" s="56"/>
      <c r="F122" s="56"/>
      <c r="G122" s="57"/>
      <c r="J122" s="37">
        <v>1</v>
      </c>
      <c r="K122" s="37">
        <v>132</v>
      </c>
      <c r="L122" s="37" t="b">
        <f>FALSE</f>
        <v>0</v>
      </c>
      <c r="M122" s="37" t="b">
        <f>FALSE</f>
        <v>0</v>
      </c>
      <c r="N122" s="67">
        <f>I7</f>
        <v>48510</v>
      </c>
      <c r="O122" s="67">
        <f>N122</f>
        <v>48510</v>
      </c>
    </row>
    <row r="123" spans="1:24" x14ac:dyDescent="0.25">
      <c r="A123" s="56"/>
      <c r="B123" s="56"/>
      <c r="C123" s="56"/>
      <c r="D123" s="58" t="s">
        <v>5</v>
      </c>
      <c r="E123" s="58" t="s">
        <v>6</v>
      </c>
      <c r="F123" s="58" t="s">
        <v>24</v>
      </c>
      <c r="G123" s="58"/>
      <c r="J123" s="37">
        <v>2</v>
      </c>
      <c r="K123" s="37">
        <f t="shared" ref="K123:K160" si="29">IF(ISEVEN(J123),J123*100, K122+132)</f>
        <v>200</v>
      </c>
      <c r="L123" s="37" t="b">
        <f>TRUE</f>
        <v>1</v>
      </c>
      <c r="M123" s="37" t="b">
        <f>FALSE</f>
        <v>0</v>
      </c>
      <c r="N123" s="67">
        <f>I10</f>
        <v>18893</v>
      </c>
      <c r="O123" s="67">
        <f>O122+N123</f>
        <v>67403</v>
      </c>
      <c r="P123"/>
      <c r="Q123"/>
    </row>
    <row r="124" spans="1:24" x14ac:dyDescent="0.25">
      <c r="A124" s="56"/>
      <c r="B124" s="56" t="s">
        <v>17</v>
      </c>
      <c r="C124" s="59" t="s">
        <v>8</v>
      </c>
      <c r="D124" s="88">
        <v>12</v>
      </c>
      <c r="E124" s="60">
        <f>E65</f>
        <v>16</v>
      </c>
      <c r="F124" s="57">
        <f>E124*D124</f>
        <v>192</v>
      </c>
      <c r="G124" s="57"/>
      <c r="J124" s="37">
        <v>3</v>
      </c>
      <c r="K124" s="37">
        <f t="shared" si="29"/>
        <v>332</v>
      </c>
      <c r="L124" s="37" t="b">
        <v>0</v>
      </c>
      <c r="M124" s="37" t="b">
        <f>TRUE</f>
        <v>1</v>
      </c>
      <c r="N124" s="67">
        <f>L124*$I$10+M124*$I$7</f>
        <v>48510</v>
      </c>
      <c r="O124" s="98">
        <f>O123+N124</f>
        <v>115913</v>
      </c>
    </row>
    <row r="125" spans="1:24" x14ac:dyDescent="0.25">
      <c r="A125" s="56"/>
      <c r="B125" s="56" t="s">
        <v>36</v>
      </c>
      <c r="C125" s="59" t="s">
        <v>9</v>
      </c>
      <c r="D125" s="88">
        <v>15</v>
      </c>
      <c r="E125" s="60">
        <f t="shared" ref="E125:E126" si="30">E66</f>
        <v>94</v>
      </c>
      <c r="F125" s="57">
        <f>E125*D125</f>
        <v>1410</v>
      </c>
      <c r="G125" s="57"/>
      <c r="J125" s="37">
        <v>4</v>
      </c>
      <c r="K125" s="37">
        <f t="shared" si="29"/>
        <v>400</v>
      </c>
      <c r="L125" s="37" t="b">
        <f>M124</f>
        <v>1</v>
      </c>
      <c r="M125" s="37" t="b">
        <f>L124</f>
        <v>0</v>
      </c>
      <c r="N125" s="67">
        <f t="shared" ref="N125:N161" si="31">L125*$I$10+M125*$I$7</f>
        <v>18893</v>
      </c>
      <c r="O125" s="98">
        <f t="shared" ref="O125:O161" si="32">O124+N125</f>
        <v>134806</v>
      </c>
    </row>
    <row r="126" spans="1:24" x14ac:dyDescent="0.25">
      <c r="A126" s="56"/>
      <c r="B126" s="56" t="s">
        <v>18</v>
      </c>
      <c r="C126" s="59" t="s">
        <v>116</v>
      </c>
      <c r="D126" s="88">
        <v>22</v>
      </c>
      <c r="E126" s="60">
        <f t="shared" si="30"/>
        <v>16</v>
      </c>
      <c r="F126" s="57">
        <f>E126*D126</f>
        <v>352</v>
      </c>
      <c r="G126" s="57"/>
      <c r="J126" s="37">
        <v>5</v>
      </c>
      <c r="K126" s="37">
        <f t="shared" si="29"/>
        <v>532</v>
      </c>
      <c r="L126" s="37" t="b">
        <f t="shared" ref="L126:L181" si="33">M125</f>
        <v>0</v>
      </c>
      <c r="M126" s="37" t="b">
        <f t="shared" ref="M126:M181" si="34">L125</f>
        <v>1</v>
      </c>
      <c r="N126" s="67">
        <f t="shared" si="31"/>
        <v>48510</v>
      </c>
      <c r="O126" s="98">
        <f t="shared" si="32"/>
        <v>183316</v>
      </c>
    </row>
    <row r="127" spans="1:24" x14ac:dyDescent="0.25">
      <c r="A127" s="56"/>
      <c r="B127" s="56"/>
      <c r="C127" s="59"/>
      <c r="D127" s="57"/>
      <c r="E127" s="60"/>
      <c r="F127" s="57"/>
      <c r="G127" s="57"/>
      <c r="J127" s="37">
        <v>6</v>
      </c>
      <c r="K127" s="37">
        <f t="shared" si="29"/>
        <v>600</v>
      </c>
      <c r="L127" s="37" t="b">
        <f t="shared" si="33"/>
        <v>1</v>
      </c>
      <c r="M127" s="37" t="b">
        <f t="shared" si="34"/>
        <v>0</v>
      </c>
      <c r="N127" s="67">
        <f t="shared" si="31"/>
        <v>18893</v>
      </c>
      <c r="O127" s="98">
        <f t="shared" si="32"/>
        <v>202209</v>
      </c>
    </row>
    <row r="128" spans="1:24" x14ac:dyDescent="0.25">
      <c r="A128" s="56"/>
      <c r="B128" s="56" t="s">
        <v>13</v>
      </c>
      <c r="C128" s="56"/>
      <c r="D128" s="57"/>
      <c r="E128" s="60"/>
      <c r="F128" s="57"/>
      <c r="G128" s="57"/>
      <c r="J128" s="37">
        <v>7</v>
      </c>
      <c r="K128" s="37">
        <f t="shared" si="29"/>
        <v>732</v>
      </c>
      <c r="L128" s="37" t="b">
        <f t="shared" si="33"/>
        <v>0</v>
      </c>
      <c r="M128" s="37" t="b">
        <f t="shared" si="34"/>
        <v>1</v>
      </c>
      <c r="N128" s="67">
        <f t="shared" si="31"/>
        <v>48510</v>
      </c>
      <c r="O128" s="98">
        <f t="shared" si="32"/>
        <v>250719</v>
      </c>
    </row>
    <row r="129" spans="1:15" ht="15" x14ac:dyDescent="0.25">
      <c r="A129" s="56"/>
      <c r="B129" s="56" t="s">
        <v>19</v>
      </c>
      <c r="C129" s="59" t="s">
        <v>118</v>
      </c>
      <c r="D129" s="88">
        <v>39</v>
      </c>
      <c r="E129" s="64">
        <f>E70</f>
        <v>6</v>
      </c>
      <c r="F129" s="65">
        <f>E129*D129</f>
        <v>234</v>
      </c>
      <c r="G129" s="66"/>
      <c r="J129" s="37">
        <v>8</v>
      </c>
      <c r="K129" s="37">
        <f t="shared" si="29"/>
        <v>800</v>
      </c>
      <c r="L129" s="37" t="b">
        <f t="shared" si="33"/>
        <v>1</v>
      </c>
      <c r="M129" s="37" t="b">
        <f t="shared" si="34"/>
        <v>0</v>
      </c>
      <c r="N129" s="67">
        <f t="shared" si="31"/>
        <v>18893</v>
      </c>
      <c r="O129" s="98">
        <f t="shared" si="32"/>
        <v>269612</v>
      </c>
    </row>
    <row r="130" spans="1:15" x14ac:dyDescent="0.25">
      <c r="A130" s="56"/>
      <c r="B130" s="56"/>
      <c r="C130" s="59"/>
      <c r="D130" s="56"/>
      <c r="E130" s="76">
        <f>SUM(E124:E129)</f>
        <v>132</v>
      </c>
      <c r="F130" s="69">
        <f>SUM(F124:F129)</f>
        <v>2188</v>
      </c>
      <c r="G130" s="69"/>
      <c r="J130" s="37">
        <v>9</v>
      </c>
      <c r="K130" s="37">
        <f t="shared" si="29"/>
        <v>932</v>
      </c>
      <c r="L130" s="37" t="b">
        <f t="shared" si="33"/>
        <v>0</v>
      </c>
      <c r="M130" s="37" t="b">
        <f>L129</f>
        <v>1</v>
      </c>
      <c r="N130" s="67">
        <f t="shared" si="31"/>
        <v>48510</v>
      </c>
      <c r="O130" s="98">
        <f t="shared" si="32"/>
        <v>318122</v>
      </c>
    </row>
    <row r="131" spans="1:15" x14ac:dyDescent="0.25">
      <c r="A131" s="56"/>
      <c r="G131" s="69"/>
      <c r="J131" s="37">
        <v>10</v>
      </c>
      <c r="K131" s="37">
        <f t="shared" si="29"/>
        <v>1000</v>
      </c>
      <c r="L131" s="37" t="b">
        <f t="shared" si="33"/>
        <v>1</v>
      </c>
      <c r="M131" s="37" t="b">
        <f t="shared" si="34"/>
        <v>0</v>
      </c>
      <c r="N131" s="67">
        <f t="shared" si="31"/>
        <v>18893</v>
      </c>
      <c r="O131" s="98">
        <f t="shared" si="32"/>
        <v>337015</v>
      </c>
    </row>
    <row r="132" spans="1:15" x14ac:dyDescent="0.25">
      <c r="A132" s="56"/>
      <c r="B132" s="38" t="s">
        <v>86</v>
      </c>
      <c r="G132" s="69"/>
      <c r="J132" s="37">
        <v>11</v>
      </c>
      <c r="K132" s="37">
        <f t="shared" si="29"/>
        <v>1132</v>
      </c>
      <c r="L132" s="37" t="b">
        <f t="shared" si="33"/>
        <v>0</v>
      </c>
      <c r="M132" s="37" t="b">
        <f t="shared" si="34"/>
        <v>1</v>
      </c>
      <c r="N132" s="67">
        <f t="shared" si="31"/>
        <v>48510</v>
      </c>
      <c r="O132" s="98">
        <f t="shared" si="32"/>
        <v>385525</v>
      </c>
    </row>
    <row r="133" spans="1:15" x14ac:dyDescent="0.25">
      <c r="A133" s="56"/>
      <c r="G133" s="69"/>
      <c r="J133" s="37">
        <v>12</v>
      </c>
      <c r="K133" s="37">
        <f t="shared" si="29"/>
        <v>1200</v>
      </c>
      <c r="L133" s="37" t="b">
        <f t="shared" si="33"/>
        <v>1</v>
      </c>
      <c r="M133" s="37" t="b">
        <f t="shared" si="34"/>
        <v>0</v>
      </c>
      <c r="N133" s="67">
        <f t="shared" si="31"/>
        <v>18893</v>
      </c>
      <c r="O133" s="98">
        <f t="shared" si="32"/>
        <v>404418</v>
      </c>
    </row>
    <row r="134" spans="1:15" x14ac:dyDescent="0.25">
      <c r="B134" s="56" t="s">
        <v>14</v>
      </c>
      <c r="J134" s="37">
        <v>13</v>
      </c>
      <c r="K134" s="37">
        <f t="shared" si="29"/>
        <v>1332</v>
      </c>
      <c r="L134" s="37" t="b">
        <f t="shared" si="33"/>
        <v>0</v>
      </c>
      <c r="M134" s="37" t="b">
        <f t="shared" si="34"/>
        <v>1</v>
      </c>
      <c r="N134" s="67">
        <f t="shared" si="31"/>
        <v>48510</v>
      </c>
      <c r="O134" s="98">
        <f t="shared" si="32"/>
        <v>452928</v>
      </c>
    </row>
    <row r="135" spans="1:15" x14ac:dyDescent="0.25">
      <c r="B135" s="56"/>
      <c r="J135" s="37">
        <v>14</v>
      </c>
      <c r="K135" s="37">
        <f t="shared" si="29"/>
        <v>1400</v>
      </c>
      <c r="L135" s="37" t="b">
        <f t="shared" si="33"/>
        <v>1</v>
      </c>
      <c r="M135" s="37" t="b">
        <f t="shared" si="34"/>
        <v>0</v>
      </c>
      <c r="N135" s="67">
        <f t="shared" si="31"/>
        <v>18893</v>
      </c>
      <c r="O135" s="98">
        <f t="shared" si="32"/>
        <v>471821</v>
      </c>
    </row>
    <row r="136" spans="1:15" x14ac:dyDescent="0.25">
      <c r="B136" s="56" t="s">
        <v>17</v>
      </c>
      <c r="D136" s="73">
        <v>1</v>
      </c>
      <c r="E136" s="68">
        <f>E75</f>
        <v>8</v>
      </c>
      <c r="F136" s="73">
        <f>E136*D136</f>
        <v>8</v>
      </c>
      <c r="J136" s="37">
        <v>15</v>
      </c>
      <c r="K136" s="37">
        <f t="shared" si="29"/>
        <v>1532</v>
      </c>
      <c r="L136" s="37" t="b">
        <f t="shared" si="33"/>
        <v>0</v>
      </c>
      <c r="M136" s="37" t="b">
        <f t="shared" si="34"/>
        <v>1</v>
      </c>
      <c r="N136" s="67">
        <f t="shared" si="31"/>
        <v>48510</v>
      </c>
      <c r="O136" s="98">
        <f t="shared" si="32"/>
        <v>520331</v>
      </c>
    </row>
    <row r="137" spans="1:15" x14ac:dyDescent="0.25">
      <c r="B137" s="56" t="s">
        <v>36</v>
      </c>
      <c r="D137" s="73">
        <v>1</v>
      </c>
      <c r="E137" s="68">
        <f t="shared" ref="E137:E138" si="35">E76</f>
        <v>47</v>
      </c>
      <c r="F137" s="73">
        <f>E137*D137</f>
        <v>47</v>
      </c>
      <c r="J137" s="37">
        <v>16</v>
      </c>
      <c r="K137" s="37">
        <f t="shared" si="29"/>
        <v>1600</v>
      </c>
      <c r="L137" s="37" t="b">
        <f t="shared" si="33"/>
        <v>1</v>
      </c>
      <c r="M137" s="37" t="b">
        <f t="shared" si="34"/>
        <v>0</v>
      </c>
      <c r="N137" s="67">
        <f t="shared" si="31"/>
        <v>18893</v>
      </c>
      <c r="O137" s="98">
        <f t="shared" si="32"/>
        <v>539224</v>
      </c>
    </row>
    <row r="138" spans="1:15" x14ac:dyDescent="0.25">
      <c r="B138" s="56" t="s">
        <v>18</v>
      </c>
      <c r="D138" s="73">
        <v>1</v>
      </c>
      <c r="E138" s="68">
        <f t="shared" si="35"/>
        <v>8</v>
      </c>
      <c r="F138" s="73">
        <f>E138*D138</f>
        <v>8</v>
      </c>
      <c r="J138" s="37">
        <v>17</v>
      </c>
      <c r="K138" s="37">
        <f t="shared" si="29"/>
        <v>1732</v>
      </c>
      <c r="L138" s="37" t="b">
        <f t="shared" si="33"/>
        <v>0</v>
      </c>
      <c r="M138" s="37" t="b">
        <f t="shared" si="34"/>
        <v>1</v>
      </c>
      <c r="N138" s="67">
        <f t="shared" si="31"/>
        <v>48510</v>
      </c>
      <c r="O138" s="98">
        <f t="shared" si="32"/>
        <v>587734</v>
      </c>
    </row>
    <row r="139" spans="1:15" x14ac:dyDescent="0.25">
      <c r="B139" s="56"/>
      <c r="D139" s="73"/>
      <c r="F139" s="73"/>
      <c r="J139" s="37">
        <v>18</v>
      </c>
      <c r="K139" s="37">
        <f t="shared" si="29"/>
        <v>1800</v>
      </c>
      <c r="L139" s="37" t="b">
        <f t="shared" si="33"/>
        <v>1</v>
      </c>
      <c r="M139" s="37" t="b">
        <f t="shared" si="34"/>
        <v>0</v>
      </c>
      <c r="N139" s="67">
        <f t="shared" si="31"/>
        <v>18893</v>
      </c>
      <c r="O139" s="98">
        <f t="shared" si="32"/>
        <v>606627</v>
      </c>
    </row>
    <row r="140" spans="1:15" x14ac:dyDescent="0.25">
      <c r="B140" s="56" t="s">
        <v>13</v>
      </c>
      <c r="D140" s="73"/>
      <c r="F140" s="73"/>
      <c r="J140" s="37">
        <v>19</v>
      </c>
      <c r="K140" s="37">
        <f t="shared" si="29"/>
        <v>1932</v>
      </c>
      <c r="L140" s="37" t="b">
        <f t="shared" si="33"/>
        <v>0</v>
      </c>
      <c r="M140" s="37" t="b">
        <f t="shared" si="34"/>
        <v>1</v>
      </c>
      <c r="N140" s="67">
        <f t="shared" si="31"/>
        <v>48510</v>
      </c>
      <c r="O140" s="98">
        <f t="shared" si="32"/>
        <v>655137</v>
      </c>
    </row>
    <row r="141" spans="1:15" x14ac:dyDescent="0.25">
      <c r="B141" s="56" t="s">
        <v>19</v>
      </c>
      <c r="D141" s="73">
        <v>1</v>
      </c>
      <c r="E141" s="68">
        <f>E81</f>
        <v>0</v>
      </c>
      <c r="F141" s="74">
        <f>E141*D141</f>
        <v>0</v>
      </c>
      <c r="J141" s="37">
        <v>20</v>
      </c>
      <c r="K141" s="37">
        <f t="shared" si="29"/>
        <v>2000</v>
      </c>
      <c r="L141" s="37" t="b">
        <f t="shared" si="33"/>
        <v>1</v>
      </c>
      <c r="M141" s="37" t="b">
        <f t="shared" si="34"/>
        <v>0</v>
      </c>
      <c r="N141" s="67">
        <f t="shared" si="31"/>
        <v>18893</v>
      </c>
      <c r="O141" s="98">
        <f t="shared" si="32"/>
        <v>674030</v>
      </c>
    </row>
    <row r="142" spans="1:15" x14ac:dyDescent="0.25">
      <c r="F142" s="73">
        <f>SUM(F136:F141)</f>
        <v>63</v>
      </c>
      <c r="J142" s="37">
        <v>21</v>
      </c>
      <c r="K142" s="37">
        <f t="shared" si="29"/>
        <v>2132</v>
      </c>
      <c r="L142" s="37" t="b">
        <f t="shared" si="33"/>
        <v>0</v>
      </c>
      <c r="M142" s="37" t="b">
        <f t="shared" si="34"/>
        <v>1</v>
      </c>
      <c r="N142" s="67">
        <f t="shared" si="31"/>
        <v>48510</v>
      </c>
      <c r="O142" s="98">
        <f t="shared" si="32"/>
        <v>722540</v>
      </c>
    </row>
    <row r="143" spans="1:15" x14ac:dyDescent="0.25">
      <c r="E143" s="37">
        <v>200</v>
      </c>
      <c r="F143" s="69">
        <f>F130+F142</f>
        <v>2251</v>
      </c>
      <c r="J143" s="37">
        <v>22</v>
      </c>
      <c r="K143" s="37">
        <f t="shared" si="29"/>
        <v>2200</v>
      </c>
      <c r="L143" s="37" t="b">
        <f t="shared" si="33"/>
        <v>1</v>
      </c>
      <c r="M143" s="37" t="b">
        <f t="shared" si="34"/>
        <v>0</v>
      </c>
      <c r="N143" s="67">
        <f t="shared" si="31"/>
        <v>18893</v>
      </c>
      <c r="O143" s="98">
        <f t="shared" si="32"/>
        <v>741433</v>
      </c>
    </row>
    <row r="144" spans="1:15" ht="15" x14ac:dyDescent="0.25">
      <c r="B144" s="81" t="s">
        <v>137</v>
      </c>
      <c r="C144" s="59"/>
      <c r="D144" s="56"/>
      <c r="E144" s="69">
        <f>F143/E130</f>
        <v>17.053030303030305</v>
      </c>
      <c r="F144" s="82"/>
      <c r="J144" s="37">
        <v>23</v>
      </c>
      <c r="K144" s="37">
        <f t="shared" si="29"/>
        <v>2332</v>
      </c>
      <c r="L144" s="37" t="b">
        <f t="shared" si="33"/>
        <v>0</v>
      </c>
      <c r="M144" s="37" t="b">
        <f t="shared" si="34"/>
        <v>1</v>
      </c>
      <c r="N144" s="67">
        <f t="shared" si="31"/>
        <v>48510</v>
      </c>
      <c r="O144" s="98">
        <f t="shared" si="32"/>
        <v>789943</v>
      </c>
    </row>
    <row r="145" spans="1:15" x14ac:dyDescent="0.25">
      <c r="B145" s="56"/>
      <c r="C145" s="59"/>
      <c r="D145" s="56"/>
      <c r="E145" s="56"/>
      <c r="F145" s="69"/>
      <c r="J145" s="37">
        <v>24</v>
      </c>
      <c r="K145" s="37">
        <f t="shared" si="29"/>
        <v>2400</v>
      </c>
      <c r="L145" s="37" t="b">
        <f t="shared" si="33"/>
        <v>1</v>
      </c>
      <c r="M145" s="37" t="b">
        <f t="shared" si="34"/>
        <v>0</v>
      </c>
      <c r="N145" s="67">
        <f t="shared" si="31"/>
        <v>18893</v>
      </c>
      <c r="O145" s="98">
        <f t="shared" si="32"/>
        <v>808836</v>
      </c>
    </row>
    <row r="146" spans="1:15" x14ac:dyDescent="0.25">
      <c r="B146" s="38" t="s">
        <v>138</v>
      </c>
      <c r="J146" s="37">
        <v>25</v>
      </c>
      <c r="K146" s="37">
        <f t="shared" si="29"/>
        <v>2532</v>
      </c>
      <c r="L146" s="37" t="b">
        <f t="shared" si="33"/>
        <v>0</v>
      </c>
      <c r="M146" s="37" t="b">
        <f t="shared" si="34"/>
        <v>1</v>
      </c>
      <c r="N146" s="67">
        <f t="shared" si="31"/>
        <v>48510</v>
      </c>
      <c r="O146" s="98">
        <f t="shared" si="32"/>
        <v>857346</v>
      </c>
    </row>
    <row r="147" spans="1:15" x14ac:dyDescent="0.25">
      <c r="B147" s="38"/>
      <c r="J147" s="37">
        <v>26</v>
      </c>
      <c r="K147" s="37">
        <f t="shared" si="29"/>
        <v>2600</v>
      </c>
      <c r="L147" s="37" t="b">
        <f t="shared" si="33"/>
        <v>1</v>
      </c>
      <c r="M147" s="37" t="b">
        <f t="shared" si="34"/>
        <v>0</v>
      </c>
      <c r="N147" s="67">
        <f t="shared" si="31"/>
        <v>18893</v>
      </c>
      <c r="O147" s="98">
        <f t="shared" si="32"/>
        <v>876239</v>
      </c>
    </row>
    <row r="148" spans="1:15" x14ac:dyDescent="0.25">
      <c r="J148" s="37">
        <v>27</v>
      </c>
      <c r="K148" s="37">
        <f t="shared" si="29"/>
        <v>2732</v>
      </c>
      <c r="L148" s="37" t="b">
        <f t="shared" si="33"/>
        <v>0</v>
      </c>
      <c r="M148" s="37" t="b">
        <f t="shared" si="34"/>
        <v>1</v>
      </c>
      <c r="N148" s="67">
        <f t="shared" si="31"/>
        <v>48510</v>
      </c>
      <c r="O148" s="98">
        <f t="shared" si="32"/>
        <v>924749</v>
      </c>
    </row>
    <row r="149" spans="1:15" x14ac:dyDescent="0.25">
      <c r="J149" s="37">
        <v>28</v>
      </c>
      <c r="K149" s="37">
        <f t="shared" si="29"/>
        <v>2800</v>
      </c>
      <c r="L149" s="37" t="b">
        <f t="shared" si="33"/>
        <v>1</v>
      </c>
      <c r="M149" s="37" t="b">
        <f t="shared" si="34"/>
        <v>0</v>
      </c>
      <c r="N149" s="67">
        <f t="shared" si="31"/>
        <v>18893</v>
      </c>
      <c r="O149" s="98">
        <f t="shared" si="32"/>
        <v>943642</v>
      </c>
    </row>
    <row r="150" spans="1:15" ht="15.6" x14ac:dyDescent="0.25">
      <c r="A150" s="83" t="s">
        <v>154</v>
      </c>
      <c r="B150" s="84"/>
      <c r="C150" s="84"/>
      <c r="D150" s="84"/>
      <c r="E150" s="84"/>
      <c r="F150" s="84"/>
      <c r="G150" s="84"/>
      <c r="H150" s="84"/>
      <c r="J150" s="37">
        <v>29</v>
      </c>
      <c r="K150" s="37">
        <f t="shared" si="29"/>
        <v>2932</v>
      </c>
      <c r="L150" s="37" t="b">
        <f t="shared" si="33"/>
        <v>0</v>
      </c>
      <c r="M150" s="37" t="b">
        <f t="shared" si="34"/>
        <v>1</v>
      </c>
      <c r="N150" s="67">
        <f t="shared" si="31"/>
        <v>48510</v>
      </c>
      <c r="O150" s="98">
        <f t="shared" si="32"/>
        <v>992152</v>
      </c>
    </row>
    <row r="151" spans="1:15" x14ac:dyDescent="0.25">
      <c r="A151" s="84"/>
      <c r="B151" s="84"/>
      <c r="C151" s="84"/>
      <c r="D151" s="84"/>
      <c r="E151" s="84"/>
      <c r="F151" s="58"/>
      <c r="G151" s="58"/>
      <c r="H151" s="84"/>
      <c r="J151" s="37">
        <v>30</v>
      </c>
      <c r="K151" s="37">
        <f t="shared" si="29"/>
        <v>3000</v>
      </c>
      <c r="L151" s="37" t="b">
        <f t="shared" si="33"/>
        <v>1</v>
      </c>
      <c r="M151" s="37" t="b">
        <f t="shared" si="34"/>
        <v>0</v>
      </c>
      <c r="N151" s="67">
        <f t="shared" si="31"/>
        <v>18893</v>
      </c>
      <c r="O151" s="98">
        <f t="shared" si="32"/>
        <v>1011045</v>
      </c>
    </row>
    <row r="152" spans="1:15" x14ac:dyDescent="0.25">
      <c r="A152" s="84"/>
      <c r="B152" s="37" t="s">
        <v>14</v>
      </c>
      <c r="H152" s="84"/>
      <c r="J152" s="37">
        <v>31</v>
      </c>
      <c r="K152" s="37">
        <f t="shared" si="29"/>
        <v>3132</v>
      </c>
      <c r="L152" s="37" t="b">
        <f t="shared" si="33"/>
        <v>0</v>
      </c>
      <c r="M152" s="37" t="b">
        <f t="shared" si="34"/>
        <v>1</v>
      </c>
      <c r="N152" s="67">
        <f t="shared" si="31"/>
        <v>48510</v>
      </c>
      <c r="O152" s="98">
        <f t="shared" si="32"/>
        <v>1059555</v>
      </c>
    </row>
    <row r="153" spans="1:15" x14ac:dyDescent="0.25">
      <c r="A153" s="84"/>
      <c r="D153" s="37" t="s">
        <v>104</v>
      </c>
      <c r="E153" s="37" t="s">
        <v>6</v>
      </c>
      <c r="F153" s="37" t="s">
        <v>105</v>
      </c>
      <c r="H153" s="84"/>
      <c r="J153" s="37">
        <v>32</v>
      </c>
      <c r="K153" s="37">
        <f t="shared" si="29"/>
        <v>3200</v>
      </c>
      <c r="L153" s="37" t="b">
        <f t="shared" si="33"/>
        <v>1</v>
      </c>
      <c r="M153" s="37" t="b">
        <f t="shared" si="34"/>
        <v>0</v>
      </c>
      <c r="N153" s="67">
        <f t="shared" si="31"/>
        <v>18893</v>
      </c>
      <c r="O153" s="98">
        <f t="shared" si="32"/>
        <v>1078448</v>
      </c>
    </row>
    <row r="154" spans="1:15" x14ac:dyDescent="0.25">
      <c r="A154" s="84"/>
      <c r="B154" s="38" t="s">
        <v>140</v>
      </c>
      <c r="C154" s="37" t="s">
        <v>8</v>
      </c>
      <c r="D154" s="90">
        <v>281</v>
      </c>
      <c r="E154" s="68">
        <f>E38</f>
        <v>48</v>
      </c>
      <c r="F154" s="78">
        <f>D154*E154</f>
        <v>13488</v>
      </c>
      <c r="H154" s="84"/>
      <c r="J154" s="37">
        <v>33</v>
      </c>
      <c r="K154" s="37">
        <f t="shared" si="29"/>
        <v>3332</v>
      </c>
      <c r="L154" s="37" t="b">
        <f t="shared" si="33"/>
        <v>0</v>
      </c>
      <c r="M154" s="37" t="b">
        <f t="shared" si="34"/>
        <v>1</v>
      </c>
      <c r="N154" s="67">
        <f t="shared" si="31"/>
        <v>48510</v>
      </c>
      <c r="O154" s="98">
        <f t="shared" si="32"/>
        <v>1126958</v>
      </c>
    </row>
    <row r="155" spans="1:15" x14ac:dyDescent="0.25">
      <c r="A155" s="84"/>
      <c r="B155" s="27" t="s">
        <v>155</v>
      </c>
      <c r="C155" s="37" t="s">
        <v>9</v>
      </c>
      <c r="D155" s="90">
        <v>325</v>
      </c>
      <c r="E155" s="68">
        <f t="shared" ref="E155:E158" si="36">E39</f>
        <v>80</v>
      </c>
      <c r="F155" s="78">
        <f>D155*E155</f>
        <v>26000</v>
      </c>
      <c r="H155" s="84"/>
      <c r="J155" s="37">
        <v>34</v>
      </c>
      <c r="K155" s="37">
        <f t="shared" si="29"/>
        <v>3400</v>
      </c>
      <c r="L155" s="37" t="b">
        <f t="shared" si="33"/>
        <v>1</v>
      </c>
      <c r="M155" s="37" t="b">
        <f t="shared" si="34"/>
        <v>0</v>
      </c>
      <c r="N155" s="67">
        <f t="shared" si="31"/>
        <v>18893</v>
      </c>
      <c r="O155" s="98">
        <f t="shared" si="32"/>
        <v>1145851</v>
      </c>
    </row>
    <row r="156" spans="1:15" x14ac:dyDescent="0.25">
      <c r="A156" s="84"/>
      <c r="B156" s="38" t="s">
        <v>142</v>
      </c>
      <c r="C156" s="38" t="s">
        <v>135</v>
      </c>
      <c r="D156" s="90">
        <v>369</v>
      </c>
      <c r="E156" s="68">
        <f t="shared" si="36"/>
        <v>32</v>
      </c>
      <c r="F156" s="78">
        <f>D156*E156</f>
        <v>11808</v>
      </c>
      <c r="H156" s="85"/>
      <c r="J156" s="37">
        <v>35</v>
      </c>
      <c r="K156" s="37">
        <f t="shared" si="29"/>
        <v>3532</v>
      </c>
      <c r="L156" s="37" t="b">
        <f t="shared" si="33"/>
        <v>0</v>
      </c>
      <c r="M156" s="37" t="b">
        <f t="shared" si="34"/>
        <v>1</v>
      </c>
      <c r="N156" s="67">
        <f t="shared" si="31"/>
        <v>48510</v>
      </c>
      <c r="O156" s="98">
        <f t="shared" si="32"/>
        <v>1194361</v>
      </c>
    </row>
    <row r="157" spans="1:15" x14ac:dyDescent="0.25">
      <c r="B157" s="38" t="s">
        <v>139</v>
      </c>
      <c r="C157" s="38" t="s">
        <v>135</v>
      </c>
      <c r="D157" s="90">
        <v>413</v>
      </c>
      <c r="E157" s="68">
        <f t="shared" si="36"/>
        <v>0</v>
      </c>
      <c r="F157" s="37">
        <f>E157*D157</f>
        <v>0</v>
      </c>
      <c r="J157" s="37">
        <v>36</v>
      </c>
      <c r="K157" s="37">
        <f t="shared" si="29"/>
        <v>3600</v>
      </c>
      <c r="L157" s="37" t="b">
        <f t="shared" si="33"/>
        <v>1</v>
      </c>
      <c r="M157" s="37" t="b">
        <f t="shared" si="34"/>
        <v>0</v>
      </c>
      <c r="N157" s="67">
        <f t="shared" si="31"/>
        <v>18893</v>
      </c>
      <c r="O157" s="98">
        <f t="shared" si="32"/>
        <v>1213254</v>
      </c>
    </row>
    <row r="158" spans="1:15" x14ac:dyDescent="0.25">
      <c r="A158" s="84"/>
      <c r="D158" s="73"/>
      <c r="E158" s="68">
        <f t="shared" si="36"/>
        <v>0</v>
      </c>
      <c r="H158" s="85"/>
      <c r="J158" s="37">
        <v>37</v>
      </c>
      <c r="K158" s="37">
        <f t="shared" si="29"/>
        <v>3732</v>
      </c>
      <c r="L158" s="37" t="b">
        <f t="shared" si="33"/>
        <v>0</v>
      </c>
      <c r="M158" s="37" t="b">
        <f t="shared" si="34"/>
        <v>1</v>
      </c>
      <c r="N158" s="67">
        <f t="shared" si="31"/>
        <v>48510</v>
      </c>
      <c r="O158" s="98">
        <f t="shared" si="32"/>
        <v>1261764</v>
      </c>
    </row>
    <row r="159" spans="1:15" x14ac:dyDescent="0.25">
      <c r="A159" s="84"/>
      <c r="B159" s="37" t="s">
        <v>13</v>
      </c>
      <c r="D159" s="73"/>
      <c r="H159" s="85"/>
      <c r="J159" s="37">
        <v>38</v>
      </c>
      <c r="K159" s="37">
        <f t="shared" si="29"/>
        <v>3800</v>
      </c>
      <c r="L159" s="37" t="b">
        <f t="shared" si="33"/>
        <v>1</v>
      </c>
      <c r="M159" s="37" t="b">
        <f t="shared" si="34"/>
        <v>0</v>
      </c>
      <c r="N159" s="67">
        <f t="shared" si="31"/>
        <v>18893</v>
      </c>
      <c r="O159" s="98">
        <f t="shared" si="32"/>
        <v>1280657</v>
      </c>
    </row>
    <row r="160" spans="1:15" x14ac:dyDescent="0.25">
      <c r="A160" s="84"/>
      <c r="B160" s="38" t="s">
        <v>136</v>
      </c>
      <c r="C160" s="37" t="s">
        <v>118</v>
      </c>
      <c r="D160" s="90">
        <v>413</v>
      </c>
      <c r="E160" s="68">
        <f>E43</f>
        <v>40</v>
      </c>
      <c r="F160" s="78">
        <f>D160*E160</f>
        <v>16520</v>
      </c>
      <c r="H160" s="84"/>
      <c r="J160" s="37">
        <v>39</v>
      </c>
      <c r="K160" s="37">
        <f t="shared" si="29"/>
        <v>3932</v>
      </c>
      <c r="L160" s="37" t="b">
        <f t="shared" si="33"/>
        <v>0</v>
      </c>
      <c r="M160" s="37" t="b">
        <f t="shared" si="34"/>
        <v>1</v>
      </c>
      <c r="N160" s="67">
        <f t="shared" si="31"/>
        <v>48510</v>
      </c>
      <c r="O160" s="98">
        <f t="shared" si="32"/>
        <v>1329167</v>
      </c>
    </row>
    <row r="161" spans="1:15" x14ac:dyDescent="0.25">
      <c r="A161" s="84"/>
      <c r="D161" s="73"/>
      <c r="E161" s="78">
        <f>SUM(E154+E155+E156+E160+E157)</f>
        <v>200</v>
      </c>
      <c r="F161" s="78"/>
      <c r="H161" s="84"/>
      <c r="J161" s="27">
        <v>40</v>
      </c>
      <c r="K161" s="37">
        <v>4000</v>
      </c>
      <c r="L161" s="37" t="b">
        <f t="shared" si="33"/>
        <v>1</v>
      </c>
      <c r="M161" s="37" t="b">
        <f t="shared" si="34"/>
        <v>0</v>
      </c>
      <c r="N161" s="67">
        <f t="shared" si="31"/>
        <v>18893</v>
      </c>
      <c r="O161" s="98">
        <f t="shared" si="32"/>
        <v>1348060</v>
      </c>
    </row>
    <row r="162" spans="1:15" x14ac:dyDescent="0.25">
      <c r="B162" s="84" t="s">
        <v>21</v>
      </c>
      <c r="C162" s="84"/>
      <c r="D162" s="73"/>
      <c r="G162" s="70">
        <v>0.75</v>
      </c>
      <c r="J162" s="27">
        <v>41</v>
      </c>
      <c r="K162" s="37">
        <v>4000</v>
      </c>
      <c r="L162" s="37" t="b">
        <f t="shared" si="33"/>
        <v>0</v>
      </c>
      <c r="M162" s="37" t="b">
        <f t="shared" si="34"/>
        <v>1</v>
      </c>
      <c r="N162" s="67">
        <f t="shared" ref="N162:N181" si="37">L162*$I$10+M162*$I$7</f>
        <v>48510</v>
      </c>
      <c r="O162" s="98">
        <f t="shared" ref="O162:O181" si="38">O161+N162</f>
        <v>1396570</v>
      </c>
    </row>
    <row r="163" spans="1:15" x14ac:dyDescent="0.25">
      <c r="B163" s="84" t="s">
        <v>22</v>
      </c>
      <c r="C163" s="84"/>
      <c r="D163" s="73">
        <v>76</v>
      </c>
      <c r="E163" s="79">
        <v>50</v>
      </c>
      <c r="F163" s="79">
        <f>E163*D163</f>
        <v>3800</v>
      </c>
      <c r="G163" s="70">
        <f>1-G162</f>
        <v>0.25</v>
      </c>
      <c r="J163" s="27">
        <v>42</v>
      </c>
      <c r="K163" s="37">
        <v>4000</v>
      </c>
      <c r="L163" s="37" t="b">
        <f t="shared" si="33"/>
        <v>1</v>
      </c>
      <c r="M163" s="37" t="b">
        <f t="shared" si="34"/>
        <v>0</v>
      </c>
      <c r="N163" s="67">
        <f t="shared" si="37"/>
        <v>18893</v>
      </c>
      <c r="O163" s="98">
        <f t="shared" si="38"/>
        <v>1415463</v>
      </c>
    </row>
    <row r="164" spans="1:15" x14ac:dyDescent="0.25">
      <c r="B164" s="38" t="s">
        <v>11</v>
      </c>
      <c r="D164" s="73">
        <v>16</v>
      </c>
      <c r="E164" s="79">
        <f>G164*E161</f>
        <v>200</v>
      </c>
      <c r="F164" s="79">
        <f>E164*D164</f>
        <v>3200</v>
      </c>
      <c r="G164" s="70">
        <f>G162+G163</f>
        <v>1</v>
      </c>
      <c r="J164" s="27">
        <v>43</v>
      </c>
      <c r="K164" s="37">
        <v>4000</v>
      </c>
      <c r="L164" s="37" t="b">
        <f t="shared" si="33"/>
        <v>0</v>
      </c>
      <c r="M164" s="37" t="b">
        <f t="shared" si="34"/>
        <v>1</v>
      </c>
      <c r="N164" s="67">
        <f t="shared" si="37"/>
        <v>48510</v>
      </c>
      <c r="O164" s="98">
        <f t="shared" si="38"/>
        <v>1463973</v>
      </c>
    </row>
    <row r="165" spans="1:15" x14ac:dyDescent="0.25">
      <c r="C165" s="84" t="s">
        <v>23</v>
      </c>
      <c r="F165" s="79">
        <f>F154+F155+F156+F160+F163+F164+F157</f>
        <v>74816</v>
      </c>
      <c r="J165" s="27">
        <v>44</v>
      </c>
      <c r="K165" s="37">
        <v>4000</v>
      </c>
      <c r="L165" s="37" t="b">
        <f t="shared" si="33"/>
        <v>1</v>
      </c>
      <c r="M165" s="37" t="b">
        <f t="shared" si="34"/>
        <v>0</v>
      </c>
      <c r="N165" s="67">
        <f t="shared" si="37"/>
        <v>18893</v>
      </c>
      <c r="O165" s="98">
        <f t="shared" si="38"/>
        <v>1482866</v>
      </c>
    </row>
    <row r="166" spans="1:15" x14ac:dyDescent="0.25">
      <c r="C166" s="84" t="s">
        <v>43</v>
      </c>
      <c r="F166" s="73">
        <f>F165/E161</f>
        <v>374.08</v>
      </c>
      <c r="J166" s="27">
        <v>45</v>
      </c>
      <c r="K166" s="37">
        <v>4000</v>
      </c>
      <c r="L166" s="37" t="b">
        <f t="shared" si="33"/>
        <v>0</v>
      </c>
      <c r="M166" s="37" t="b">
        <f t="shared" si="34"/>
        <v>1</v>
      </c>
      <c r="N166" s="67">
        <f t="shared" si="37"/>
        <v>48510</v>
      </c>
      <c r="O166" s="98">
        <f t="shared" si="38"/>
        <v>1531376</v>
      </c>
    </row>
    <row r="167" spans="1:15" x14ac:dyDescent="0.25">
      <c r="C167" s="37" t="s">
        <v>44</v>
      </c>
      <c r="F167" s="73">
        <f>F166</f>
        <v>374.08</v>
      </c>
      <c r="J167" s="27">
        <v>46</v>
      </c>
      <c r="K167" s="37">
        <v>4000</v>
      </c>
      <c r="L167" s="37" t="b">
        <f t="shared" si="33"/>
        <v>1</v>
      </c>
      <c r="M167" s="37" t="b">
        <f t="shared" si="34"/>
        <v>0</v>
      </c>
      <c r="N167" s="67">
        <f t="shared" si="37"/>
        <v>18893</v>
      </c>
      <c r="O167" s="98">
        <f t="shared" si="38"/>
        <v>1550269</v>
      </c>
    </row>
    <row r="168" spans="1:15" x14ac:dyDescent="0.25">
      <c r="J168" s="27">
        <v>47</v>
      </c>
      <c r="K168" s="37">
        <v>4000</v>
      </c>
      <c r="L168" s="37" t="b">
        <f t="shared" si="33"/>
        <v>0</v>
      </c>
      <c r="M168" s="37" t="b">
        <f t="shared" si="34"/>
        <v>1</v>
      </c>
      <c r="N168" s="67">
        <f t="shared" si="37"/>
        <v>48510</v>
      </c>
      <c r="O168" s="98">
        <f t="shared" si="38"/>
        <v>1598779</v>
      </c>
    </row>
    <row r="169" spans="1:15" x14ac:dyDescent="0.25">
      <c r="J169" s="27">
        <v>48</v>
      </c>
      <c r="K169" s="37">
        <v>4000</v>
      </c>
      <c r="L169" s="37" t="b">
        <f t="shared" si="33"/>
        <v>1</v>
      </c>
      <c r="M169" s="37" t="b">
        <f t="shared" si="34"/>
        <v>0</v>
      </c>
      <c r="N169" s="67">
        <f t="shared" si="37"/>
        <v>18893</v>
      </c>
      <c r="O169" s="98">
        <f t="shared" si="38"/>
        <v>1617672</v>
      </c>
    </row>
    <row r="170" spans="1:15" ht="15.6" x14ac:dyDescent="0.25">
      <c r="A170" s="83" t="s">
        <v>172</v>
      </c>
      <c r="B170" s="129"/>
      <c r="C170" s="129"/>
      <c r="D170" s="129"/>
      <c r="E170" s="129"/>
      <c r="F170" s="129"/>
      <c r="G170" s="129"/>
      <c r="H170" s="125"/>
      <c r="J170" s="27">
        <v>49</v>
      </c>
      <c r="K170" s="37">
        <v>4000</v>
      </c>
      <c r="L170" s="37" t="b">
        <f t="shared" si="33"/>
        <v>0</v>
      </c>
      <c r="M170" s="37" t="b">
        <f t="shared" si="34"/>
        <v>1</v>
      </c>
      <c r="N170" s="67">
        <f t="shared" si="37"/>
        <v>48510</v>
      </c>
      <c r="O170" s="98">
        <f t="shared" si="38"/>
        <v>1666182</v>
      </c>
    </row>
    <row r="171" spans="1:15" x14ac:dyDescent="0.25">
      <c r="A171" s="129"/>
      <c r="B171" s="129"/>
      <c r="C171" s="129"/>
      <c r="D171" s="129"/>
      <c r="E171" s="129"/>
      <c r="F171" s="130"/>
      <c r="G171" s="130"/>
      <c r="H171" s="125"/>
      <c r="J171" s="27">
        <v>50</v>
      </c>
      <c r="K171" s="37">
        <v>4000</v>
      </c>
      <c r="L171" s="37" t="b">
        <f t="shared" si="33"/>
        <v>1</v>
      </c>
      <c r="M171" s="37" t="b">
        <f t="shared" si="34"/>
        <v>0</v>
      </c>
      <c r="N171" s="67">
        <f t="shared" si="37"/>
        <v>18893</v>
      </c>
      <c r="O171" s="98">
        <f t="shared" si="38"/>
        <v>1685075</v>
      </c>
    </row>
    <row r="172" spans="1:15" x14ac:dyDescent="0.25">
      <c r="A172" s="129"/>
      <c r="B172" s="27" t="s">
        <v>14</v>
      </c>
      <c r="C172" s="27"/>
      <c r="D172" s="27"/>
      <c r="E172" s="27"/>
      <c r="F172" s="27"/>
      <c r="G172" s="27"/>
      <c r="H172" s="125"/>
      <c r="J172" s="27">
        <v>51</v>
      </c>
      <c r="K172" s="37">
        <v>4000</v>
      </c>
      <c r="L172" s="37" t="b">
        <f t="shared" si="33"/>
        <v>0</v>
      </c>
      <c r="M172" s="37" t="b">
        <f t="shared" si="34"/>
        <v>1</v>
      </c>
      <c r="N172" s="67">
        <f t="shared" si="37"/>
        <v>48510</v>
      </c>
      <c r="O172" s="98">
        <f t="shared" si="38"/>
        <v>1733585</v>
      </c>
    </row>
    <row r="173" spans="1:15" x14ac:dyDescent="0.25">
      <c r="A173" s="129"/>
      <c r="B173" s="27"/>
      <c r="C173" s="27"/>
      <c r="D173" s="27" t="s">
        <v>104</v>
      </c>
      <c r="E173" s="27" t="s">
        <v>6</v>
      </c>
      <c r="F173" s="27" t="s">
        <v>105</v>
      </c>
      <c r="G173" s="27"/>
      <c r="H173" s="125"/>
      <c r="J173" s="27">
        <v>52</v>
      </c>
      <c r="K173" s="37">
        <v>4000</v>
      </c>
      <c r="L173" s="37" t="b">
        <f t="shared" si="33"/>
        <v>1</v>
      </c>
      <c r="M173" s="37" t="b">
        <f t="shared" si="34"/>
        <v>0</v>
      </c>
      <c r="N173" s="67">
        <f t="shared" si="37"/>
        <v>18893</v>
      </c>
      <c r="O173" s="98">
        <f t="shared" si="38"/>
        <v>1752478</v>
      </c>
    </row>
    <row r="174" spans="1:15" x14ac:dyDescent="0.25">
      <c r="A174" s="129"/>
      <c r="B174" s="27" t="s">
        <v>140</v>
      </c>
      <c r="C174" s="27" t="s">
        <v>8</v>
      </c>
      <c r="D174" s="131">
        <v>255</v>
      </c>
      <c r="E174" s="132">
        <v>13</v>
      </c>
      <c r="F174" s="133">
        <f>D174*E174</f>
        <v>3315</v>
      </c>
      <c r="G174" s="27"/>
      <c r="H174" s="125"/>
      <c r="J174" s="27">
        <v>53</v>
      </c>
      <c r="K174" s="37">
        <v>4000</v>
      </c>
      <c r="L174" s="37" t="b">
        <f t="shared" si="33"/>
        <v>0</v>
      </c>
      <c r="M174" s="37" t="b">
        <f t="shared" si="34"/>
        <v>1</v>
      </c>
      <c r="N174" s="67">
        <f t="shared" si="37"/>
        <v>48510</v>
      </c>
      <c r="O174" s="98">
        <f t="shared" si="38"/>
        <v>1800988</v>
      </c>
    </row>
    <row r="175" spans="1:15" x14ac:dyDescent="0.25">
      <c r="A175" s="129"/>
      <c r="B175" s="27" t="s">
        <v>141</v>
      </c>
      <c r="C175" s="27" t="s">
        <v>9</v>
      </c>
      <c r="D175" s="131">
        <v>295</v>
      </c>
      <c r="E175" s="132">
        <v>97</v>
      </c>
      <c r="F175" s="133">
        <f>D175*E175</f>
        <v>28615</v>
      </c>
      <c r="G175" s="27"/>
      <c r="H175" s="125"/>
      <c r="J175" s="27">
        <v>54</v>
      </c>
      <c r="K175" s="37">
        <v>4000</v>
      </c>
      <c r="L175" s="37" t="b">
        <f t="shared" si="33"/>
        <v>1</v>
      </c>
      <c r="M175" s="37" t="b">
        <f t="shared" si="34"/>
        <v>0</v>
      </c>
      <c r="N175" s="67">
        <f t="shared" si="37"/>
        <v>18893</v>
      </c>
      <c r="O175" s="98">
        <f t="shared" si="38"/>
        <v>1819881</v>
      </c>
    </row>
    <row r="176" spans="1:15" x14ac:dyDescent="0.25">
      <c r="A176" s="129"/>
      <c r="B176" s="27" t="s">
        <v>142</v>
      </c>
      <c r="C176" s="27" t="s">
        <v>135</v>
      </c>
      <c r="D176" s="131">
        <v>415</v>
      </c>
      <c r="E176" s="132">
        <v>22</v>
      </c>
      <c r="F176" s="133">
        <f>D176*E176</f>
        <v>9130</v>
      </c>
      <c r="G176" s="27"/>
      <c r="H176" s="127"/>
      <c r="J176" s="27">
        <v>55</v>
      </c>
      <c r="K176" s="37">
        <v>4000</v>
      </c>
      <c r="L176" s="37" t="b">
        <f t="shared" si="33"/>
        <v>0</v>
      </c>
      <c r="M176" s="37" t="b">
        <f t="shared" si="34"/>
        <v>1</v>
      </c>
      <c r="N176" s="67">
        <f t="shared" si="37"/>
        <v>48510</v>
      </c>
      <c r="O176" s="98">
        <f t="shared" si="38"/>
        <v>1868391</v>
      </c>
    </row>
    <row r="177" spans="1:15" x14ac:dyDescent="0.25">
      <c r="A177" s="27"/>
      <c r="B177" s="27" t="s">
        <v>139</v>
      </c>
      <c r="C177" s="27" t="s">
        <v>135</v>
      </c>
      <c r="D177" s="131">
        <v>319</v>
      </c>
      <c r="E177" s="132">
        <f t="shared" ref="E177:E180" si="39">E68</f>
        <v>0</v>
      </c>
      <c r="F177" s="27">
        <f>E177*D177</f>
        <v>0</v>
      </c>
      <c r="G177" s="27"/>
      <c r="H177" s="126"/>
      <c r="J177" s="27">
        <v>56</v>
      </c>
      <c r="K177" s="37">
        <v>4000</v>
      </c>
      <c r="L177" s="37" t="b">
        <f t="shared" si="33"/>
        <v>1</v>
      </c>
      <c r="M177" s="37" t="b">
        <f t="shared" si="34"/>
        <v>0</v>
      </c>
      <c r="N177" s="67">
        <f t="shared" si="37"/>
        <v>18893</v>
      </c>
      <c r="O177" s="98">
        <f t="shared" si="38"/>
        <v>1887284</v>
      </c>
    </row>
    <row r="178" spans="1:15" x14ac:dyDescent="0.25">
      <c r="A178" s="129"/>
      <c r="B178" s="27"/>
      <c r="C178" s="27"/>
      <c r="D178" s="131"/>
      <c r="E178" s="132"/>
      <c r="F178" s="27"/>
      <c r="G178" s="27"/>
      <c r="H178" s="127"/>
      <c r="J178" s="27">
        <v>57</v>
      </c>
      <c r="K178" s="37">
        <v>4000</v>
      </c>
      <c r="L178" s="37" t="b">
        <f t="shared" si="33"/>
        <v>0</v>
      </c>
      <c r="M178" s="37" t="b">
        <f t="shared" si="34"/>
        <v>1</v>
      </c>
      <c r="N178" s="67">
        <f t="shared" si="37"/>
        <v>48510</v>
      </c>
      <c r="O178" s="98">
        <f t="shared" si="38"/>
        <v>1935794</v>
      </c>
    </row>
    <row r="179" spans="1:15" x14ac:dyDescent="0.25">
      <c r="A179" s="129"/>
      <c r="B179" s="27" t="s">
        <v>13</v>
      </c>
      <c r="C179" s="27"/>
      <c r="D179" s="131"/>
      <c r="E179" s="132">
        <f t="shared" si="39"/>
        <v>6</v>
      </c>
      <c r="F179" s="27"/>
      <c r="G179" s="27"/>
      <c r="H179" s="127"/>
      <c r="J179" s="27">
        <v>58</v>
      </c>
      <c r="K179" s="37">
        <v>4000</v>
      </c>
      <c r="L179" s="37" t="b">
        <f t="shared" si="33"/>
        <v>1</v>
      </c>
      <c r="M179" s="37" t="b">
        <f t="shared" si="34"/>
        <v>0</v>
      </c>
      <c r="N179" s="67">
        <f t="shared" si="37"/>
        <v>18893</v>
      </c>
      <c r="O179" s="98">
        <f t="shared" si="38"/>
        <v>1954687</v>
      </c>
    </row>
    <row r="180" spans="1:15" x14ac:dyDescent="0.25">
      <c r="A180" s="129"/>
      <c r="B180" s="27" t="s">
        <v>136</v>
      </c>
      <c r="C180" s="27" t="s">
        <v>118</v>
      </c>
      <c r="D180" s="131">
        <v>562</v>
      </c>
      <c r="E180" s="134">
        <f t="shared" si="39"/>
        <v>0</v>
      </c>
      <c r="F180" s="133">
        <f>D180*E180</f>
        <v>0</v>
      </c>
      <c r="G180" s="27"/>
      <c r="H180" s="125"/>
      <c r="J180" s="27">
        <v>59</v>
      </c>
      <c r="K180" s="37">
        <v>4000</v>
      </c>
      <c r="L180" s="37" t="b">
        <f t="shared" si="33"/>
        <v>0</v>
      </c>
      <c r="M180" s="37" t="b">
        <f t="shared" si="34"/>
        <v>1</v>
      </c>
      <c r="N180" s="67">
        <f t="shared" si="37"/>
        <v>48510</v>
      </c>
      <c r="O180" s="98">
        <f t="shared" si="38"/>
        <v>2003197</v>
      </c>
    </row>
    <row r="181" spans="1:15" x14ac:dyDescent="0.25">
      <c r="A181" s="129"/>
      <c r="B181" s="27"/>
      <c r="C181" s="27"/>
      <c r="D181" s="131"/>
      <c r="E181" s="133">
        <f>SUM(E174+E175+E176+E180+E177)</f>
        <v>132</v>
      </c>
      <c r="F181" s="133"/>
      <c r="G181" s="27"/>
      <c r="H181" s="125"/>
      <c r="J181" s="27">
        <v>60</v>
      </c>
      <c r="K181" s="37">
        <v>4000</v>
      </c>
      <c r="L181" s="37" t="b">
        <f t="shared" si="33"/>
        <v>1</v>
      </c>
      <c r="M181" s="37" t="b">
        <f t="shared" si="34"/>
        <v>0</v>
      </c>
      <c r="N181" s="67">
        <f t="shared" si="37"/>
        <v>18893</v>
      </c>
      <c r="O181" s="98">
        <f t="shared" si="38"/>
        <v>2022090</v>
      </c>
    </row>
    <row r="182" spans="1:15" x14ac:dyDescent="0.25">
      <c r="A182" s="27"/>
      <c r="B182" s="129" t="s">
        <v>21</v>
      </c>
      <c r="C182" s="129"/>
      <c r="D182" s="131"/>
      <c r="E182" s="27"/>
      <c r="F182" s="27"/>
      <c r="G182" s="135">
        <v>0.75</v>
      </c>
      <c r="H182" s="126"/>
      <c r="J182" s="27"/>
    </row>
    <row r="183" spans="1:15" x14ac:dyDescent="0.25">
      <c r="A183" s="27"/>
      <c r="B183" s="129" t="s">
        <v>22</v>
      </c>
      <c r="C183" s="129"/>
      <c r="D183" s="131">
        <v>76</v>
      </c>
      <c r="E183" s="102">
        <v>50</v>
      </c>
      <c r="F183" s="102">
        <f>E183*D183</f>
        <v>3800</v>
      </c>
      <c r="G183" s="135">
        <f>1-G182</f>
        <v>0.25</v>
      </c>
      <c r="H183" s="126"/>
      <c r="J183" s="27"/>
    </row>
    <row r="184" spans="1:15" x14ac:dyDescent="0.25">
      <c r="A184" s="27"/>
      <c r="B184" s="27" t="s">
        <v>11</v>
      </c>
      <c r="C184" s="27"/>
      <c r="D184" s="131">
        <v>16</v>
      </c>
      <c r="E184" s="102">
        <f>G184*E181</f>
        <v>132</v>
      </c>
      <c r="F184" s="102">
        <f>E184*D184</f>
        <v>2112</v>
      </c>
      <c r="G184" s="135">
        <f>G182+G183</f>
        <v>1</v>
      </c>
      <c r="H184" s="126"/>
      <c r="J184" s="27"/>
    </row>
    <row r="185" spans="1:15" x14ac:dyDescent="0.25">
      <c r="A185" s="27"/>
      <c r="B185" s="27"/>
      <c r="C185" s="129" t="s">
        <v>23</v>
      </c>
      <c r="D185" s="27"/>
      <c r="E185" s="27"/>
      <c r="F185" s="102">
        <f>F174+F175+F176+F180+F183+F184+F177</f>
        <v>46972</v>
      </c>
      <c r="G185" s="27"/>
      <c r="H185" s="126"/>
      <c r="J185" s="27"/>
    </row>
    <row r="186" spans="1:15" x14ac:dyDescent="0.25">
      <c r="A186" s="27"/>
      <c r="B186" s="27"/>
      <c r="C186" s="129" t="s">
        <v>43</v>
      </c>
      <c r="D186" s="27"/>
      <c r="E186" s="27"/>
      <c r="F186" s="131">
        <f>F185/E181</f>
        <v>355.84848484848487</v>
      </c>
      <c r="G186" s="27"/>
      <c r="H186" s="126"/>
      <c r="J186" s="27"/>
    </row>
    <row r="187" spans="1:15" x14ac:dyDescent="0.25">
      <c r="A187" s="27"/>
      <c r="B187" s="27"/>
      <c r="C187" s="27" t="s">
        <v>44</v>
      </c>
      <c r="D187" s="27"/>
      <c r="E187" s="27"/>
      <c r="F187" s="131">
        <f>F186</f>
        <v>355.84848484848487</v>
      </c>
      <c r="G187" s="27"/>
      <c r="H187" s="126"/>
      <c r="J187" s="27"/>
    </row>
    <row r="188" spans="1:15" x14ac:dyDescent="0.25">
      <c r="A188" s="27"/>
      <c r="B188" s="27"/>
      <c r="C188" s="27"/>
      <c r="D188" s="27"/>
      <c r="E188" s="27"/>
      <c r="F188" s="27"/>
      <c r="G188" s="27"/>
      <c r="J188" s="27"/>
    </row>
  </sheetData>
  <sheetProtection selectLockedCells="1" selectUnlockedCells="1"/>
  <mergeCells count="13">
    <mergeCell ref="M120:N120"/>
    <mergeCell ref="S38:S39"/>
    <mergeCell ref="B3:H4"/>
    <mergeCell ref="B24:G24"/>
    <mergeCell ref="B6:G6"/>
    <mergeCell ref="B12:G12"/>
    <mergeCell ref="B14:G14"/>
    <mergeCell ref="B21:H22"/>
    <mergeCell ref="P16:R18"/>
    <mergeCell ref="B13:G13"/>
    <mergeCell ref="B19:G19"/>
    <mergeCell ref="B16:G16"/>
    <mergeCell ref="B89:D89"/>
  </mergeCells>
  <phoneticPr fontId="4" type="noConversion"/>
  <pageMargins left="0.75" right="0.75" top="1" bottom="1" header="0.5" footer="0.5"/>
  <pageSetup scale="36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12"/>
  <sheetViews>
    <sheetView workbookViewId="0">
      <pane xSplit="4" topLeftCell="E1" activePane="topRight" state="frozenSplit"/>
      <selection activeCell="C23" sqref="A23:IV29"/>
      <selection pane="topRight" activeCell="E17" sqref="E17"/>
    </sheetView>
  </sheetViews>
  <sheetFormatPr defaultColWidth="8.77734375" defaultRowHeight="13.2" x14ac:dyDescent="0.25"/>
  <cols>
    <col min="3" max="3" width="21.6640625" customWidth="1"/>
    <col min="4" max="4" width="9.109375" customWidth="1"/>
    <col min="8" max="10" width="10.33203125" bestFit="1" customWidth="1"/>
    <col min="12" max="12" width="10.33203125" bestFit="1" customWidth="1"/>
    <col min="24" max="24" width="9.109375" style="17" customWidth="1"/>
  </cols>
  <sheetData>
    <row r="1" spans="1:24" x14ac:dyDescent="0.25">
      <c r="A1" s="15" t="s">
        <v>56</v>
      </c>
    </row>
    <row r="2" spans="1:24" x14ac:dyDescent="0.25">
      <c r="E2" s="220" t="s">
        <v>52</v>
      </c>
      <c r="F2" s="220"/>
      <c r="G2" s="220"/>
      <c r="H2" s="220"/>
      <c r="I2" s="220" t="s">
        <v>53</v>
      </c>
      <c r="J2" s="220"/>
      <c r="K2" s="220"/>
      <c r="L2" s="220"/>
      <c r="M2" s="220" t="s">
        <v>54</v>
      </c>
      <c r="N2" s="220"/>
      <c r="O2" s="220"/>
      <c r="P2" s="220"/>
      <c r="Q2" s="220" t="s">
        <v>55</v>
      </c>
      <c r="R2" s="220"/>
      <c r="S2" s="220"/>
      <c r="T2" s="220"/>
      <c r="U2" s="220" t="s">
        <v>57</v>
      </c>
      <c r="V2" s="220"/>
      <c r="W2" s="220"/>
      <c r="X2" s="220"/>
    </row>
    <row r="3" spans="1:24" x14ac:dyDescent="0.25">
      <c r="D3" s="15"/>
      <c r="E3">
        <v>1</v>
      </c>
      <c r="F3">
        <v>2</v>
      </c>
      <c r="G3">
        <v>3</v>
      </c>
      <c r="H3">
        <v>4</v>
      </c>
      <c r="I3">
        <v>1</v>
      </c>
      <c r="J3">
        <v>2</v>
      </c>
      <c r="K3">
        <v>3</v>
      </c>
      <c r="L3">
        <v>4</v>
      </c>
      <c r="M3">
        <v>1</v>
      </c>
      <c r="N3">
        <v>2</v>
      </c>
      <c r="O3">
        <v>3</v>
      </c>
      <c r="P3">
        <v>4</v>
      </c>
      <c r="Q3">
        <v>1</v>
      </c>
      <c r="R3">
        <v>2</v>
      </c>
      <c r="S3">
        <v>3</v>
      </c>
      <c r="T3">
        <v>4</v>
      </c>
      <c r="U3">
        <v>1</v>
      </c>
      <c r="V3">
        <v>2</v>
      </c>
      <c r="W3">
        <v>3</v>
      </c>
      <c r="X3" s="17">
        <v>4</v>
      </c>
    </row>
    <row r="4" spans="1:24" x14ac:dyDescent="0.25">
      <c r="B4" s="15" t="s">
        <v>64</v>
      </c>
      <c r="D4" s="15"/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>
        <v>9</v>
      </c>
      <c r="N4">
        <v>10</v>
      </c>
      <c r="O4">
        <v>11</v>
      </c>
      <c r="P4">
        <v>12</v>
      </c>
      <c r="Q4">
        <v>13</v>
      </c>
      <c r="R4">
        <v>14</v>
      </c>
      <c r="S4">
        <v>15</v>
      </c>
      <c r="T4">
        <v>16</v>
      </c>
      <c r="U4">
        <v>17</v>
      </c>
      <c r="V4">
        <v>18</v>
      </c>
      <c r="W4">
        <v>19</v>
      </c>
      <c r="X4" s="17">
        <v>20</v>
      </c>
    </row>
    <row r="5" spans="1:24" x14ac:dyDescent="0.25">
      <c r="B5" s="15" t="s">
        <v>58</v>
      </c>
      <c r="E5" s="14">
        <f>VLOOKUP(E4,Assumptions!$K$73:$M$93,3,TRUE)</f>
        <v>50</v>
      </c>
      <c r="F5" s="14">
        <f>VLOOKUP(F4,Assumptions!$K$73:$M$93,3,TRUE)</f>
        <v>100</v>
      </c>
      <c r="G5" s="14">
        <f>VLOOKUP(G4,Assumptions!$K$73:$M$93,3,TRUE)</f>
        <v>150</v>
      </c>
      <c r="H5" s="14">
        <f>VLOOKUP(H4,Assumptions!$K$73:$M$93,3,TRUE)</f>
        <v>200</v>
      </c>
      <c r="I5" s="14">
        <f>VLOOKUP(I4,Assumptions!$K$73:$M$93,3,TRUE)</f>
        <v>300</v>
      </c>
      <c r="J5" s="14">
        <f>VLOOKUP(J4,Assumptions!$K$73:$M$93,3,TRUE)</f>
        <v>400</v>
      </c>
      <c r="K5" s="14">
        <f>VLOOKUP(K4,Assumptions!$K$73:$M$93,3,TRUE)</f>
        <v>500</v>
      </c>
      <c r="L5" s="14">
        <f>VLOOKUP(L4,Assumptions!$K$73:$M$93,3,TRUE)</f>
        <v>600</v>
      </c>
      <c r="M5" s="14">
        <f>VLOOKUP(M4,Assumptions!$K$73:$M$93,3,TRUE)</f>
        <v>900</v>
      </c>
      <c r="N5" s="14">
        <f>VLOOKUP(N4,Assumptions!$K$73:$M$93,3,TRUE)</f>
        <v>1200</v>
      </c>
      <c r="O5" s="14">
        <f>VLOOKUP(O4,Assumptions!$K$73:$M$93,3,TRUE)</f>
        <v>1500</v>
      </c>
      <c r="P5" s="14">
        <f>VLOOKUP(P4,Assumptions!$K$73:$M$93,3,TRUE)</f>
        <v>1800</v>
      </c>
      <c r="Q5" s="14">
        <f>VLOOKUP(Q4,Assumptions!$K$73:$M$93,3,TRUE)</f>
        <v>1975</v>
      </c>
      <c r="R5" s="14">
        <f>VLOOKUP(R4,Assumptions!$K$73:$M$93,3,TRUE)</f>
        <v>2150</v>
      </c>
      <c r="S5" s="14">
        <f>VLOOKUP(S4,Assumptions!$K$73:$M$93,3,TRUE)</f>
        <v>2325</v>
      </c>
      <c r="T5" s="14">
        <f>VLOOKUP(T4,Assumptions!$K$73:$M$93,3,TRUE)</f>
        <v>2500</v>
      </c>
      <c r="U5" s="14">
        <f>VLOOKUP(U4,Assumptions!$K$73:$M$93,3,TRUE)</f>
        <v>2750</v>
      </c>
      <c r="V5" s="14">
        <f>VLOOKUP(V4,Assumptions!$K$73:$M$93,3,TRUE)</f>
        <v>3000</v>
      </c>
      <c r="W5" s="14">
        <f>VLOOKUP(W4,Assumptions!$K$73:$M$93,3,TRUE)</f>
        <v>3250</v>
      </c>
      <c r="X5" s="14">
        <f>VLOOKUP(X4,Assumptions!$K$73:$M$93,3,TRUE)</f>
        <v>3500</v>
      </c>
    </row>
    <row r="7" spans="1:24" s="4" customFormat="1" x14ac:dyDescent="0.25">
      <c r="B7" s="18" t="s">
        <v>63</v>
      </c>
      <c r="D7" s="19">
        <f>Assumptions!E57</f>
        <v>103.6</v>
      </c>
      <c r="E7" s="4">
        <f>$D$7*6*(E5/3)</f>
        <v>10360</v>
      </c>
      <c r="F7" s="4">
        <f>$D$7*6*(F5-E5)/3+E7</f>
        <v>20720</v>
      </c>
      <c r="G7" s="4">
        <f>$D$7*6*(G5-F5)/3+F7</f>
        <v>31080</v>
      </c>
      <c r="H7" s="4">
        <f>$D$7*6*(H5-G5)/3+G7</f>
        <v>41440</v>
      </c>
      <c r="I7" s="4">
        <f>$D$7*6*(I5-H5)/3+H7</f>
        <v>62160</v>
      </c>
      <c r="J7" s="4">
        <f t="shared" ref="J7:X7" si="0">$D$7*6*(J5-I5)/3+I7</f>
        <v>82880</v>
      </c>
      <c r="K7" s="4">
        <f t="shared" si="0"/>
        <v>103600</v>
      </c>
      <c r="L7" s="4">
        <f t="shared" si="0"/>
        <v>124320</v>
      </c>
      <c r="M7" s="4">
        <f>$D$7*6*(M5-L5)/3+L7</f>
        <v>186480</v>
      </c>
      <c r="N7" s="4">
        <f t="shared" si="0"/>
        <v>248640</v>
      </c>
      <c r="O7" s="4">
        <f t="shared" si="0"/>
        <v>310800</v>
      </c>
      <c r="P7" s="4">
        <f t="shared" si="0"/>
        <v>372960</v>
      </c>
      <c r="Q7" s="4">
        <f t="shared" si="0"/>
        <v>409220</v>
      </c>
      <c r="R7" s="4">
        <f t="shared" si="0"/>
        <v>445480</v>
      </c>
      <c r="S7" s="4">
        <f t="shared" si="0"/>
        <v>481740</v>
      </c>
      <c r="T7" s="4">
        <f t="shared" si="0"/>
        <v>518000</v>
      </c>
      <c r="U7" s="4">
        <f t="shared" si="0"/>
        <v>569800</v>
      </c>
      <c r="V7" s="4">
        <f t="shared" si="0"/>
        <v>621600</v>
      </c>
      <c r="W7" s="4">
        <f t="shared" si="0"/>
        <v>673400</v>
      </c>
      <c r="X7" s="17">
        <f t="shared" si="0"/>
        <v>725200</v>
      </c>
    </row>
    <row r="8" spans="1:24" x14ac:dyDescent="0.25">
      <c r="H8" s="16">
        <f>78*D7*(H5/12)</f>
        <v>134680</v>
      </c>
      <c r="L8" s="16">
        <f>D7*78*(L5-H5)/12</f>
        <v>269359.99999999994</v>
      </c>
    </row>
    <row r="10" spans="1:24" x14ac:dyDescent="0.25">
      <c r="B10" s="15" t="s">
        <v>59</v>
      </c>
    </row>
    <row r="12" spans="1:24" x14ac:dyDescent="0.25">
      <c r="C12" s="15" t="s">
        <v>60</v>
      </c>
      <c r="D12" s="15" t="s">
        <v>49</v>
      </c>
      <c r="E12" s="17">
        <f>VLOOKUP(E4,Assumptions!$K$73:$O$93,5,TRUE)</f>
        <v>1</v>
      </c>
      <c r="F12" s="17">
        <f>VLOOKUP(F4,Assumptions!$K$73:$O$93,5,TRUE)</f>
        <v>1</v>
      </c>
      <c r="G12" s="17">
        <f>VLOOKUP(G4,Assumptions!$K$73:$O$93,5,TRUE)</f>
        <v>1</v>
      </c>
      <c r="H12" s="17">
        <f>VLOOKUP(H4,Assumptions!$K$73:$O$93,5,TRUE)</f>
        <v>1</v>
      </c>
      <c r="I12" s="17">
        <f>VLOOKUP(I4,Assumptions!$K$73:$O$93,5,TRUE)</f>
        <v>2</v>
      </c>
      <c r="J12" s="17">
        <f>VLOOKUP(J4,Assumptions!$K$73:$O$93,5,TRUE)</f>
        <v>2</v>
      </c>
      <c r="K12" s="17">
        <f>VLOOKUP(K4,Assumptions!$K$73:$O$93,5,TRUE)</f>
        <v>3</v>
      </c>
      <c r="L12" s="17">
        <f>VLOOKUP(L4,Assumptions!$K$73:$O$93,5,TRUE)</f>
        <v>3</v>
      </c>
      <c r="M12" s="17">
        <f>VLOOKUP(M4,Assumptions!$K$73:$O$93,5,TRUE)</f>
        <v>5</v>
      </c>
      <c r="N12" s="17">
        <f>VLOOKUP(N4,Assumptions!$K$73:$O$93,5,TRUE)</f>
        <v>6</v>
      </c>
      <c r="O12" s="17">
        <f>VLOOKUP(O4,Assumptions!$K$73:$O$93,5,TRUE)</f>
        <v>8</v>
      </c>
      <c r="P12" s="17">
        <f>VLOOKUP(P4,Assumptions!$K$73:$O$93,5,TRUE)</f>
        <v>9</v>
      </c>
      <c r="Q12" s="17">
        <f>VLOOKUP(Q4,Assumptions!$K$73:$O$93,5,TRUE)</f>
        <v>10</v>
      </c>
      <c r="R12" s="17">
        <f>VLOOKUP(R4,Assumptions!$K$73:$O$93,5,TRUE)</f>
        <v>11</v>
      </c>
      <c r="S12" s="17">
        <f>VLOOKUP(S4,Assumptions!$K$73:$O$93,5,TRUE)</f>
        <v>12</v>
      </c>
      <c r="T12" s="17">
        <f>VLOOKUP(T4,Assumptions!$K$73:$O$93,5,TRUE)</f>
        <v>13</v>
      </c>
      <c r="U12" s="17">
        <f>VLOOKUP(U4,Assumptions!$K$73:$O$93,5,TRUE)</f>
        <v>14</v>
      </c>
      <c r="V12" s="17">
        <f>VLOOKUP(V4,Assumptions!$K$73:$O$93,5,TRUE)</f>
        <v>15</v>
      </c>
      <c r="W12" s="17">
        <f>VLOOKUP(W4,Assumptions!$K$73:$O$93,5,TRUE)</f>
        <v>17</v>
      </c>
      <c r="X12" s="17">
        <f>VLOOKUP(X4,Assumptions!$K$73:$O$93,5,TRUE)</f>
        <v>18</v>
      </c>
    </row>
    <row r="13" spans="1:24" x14ac:dyDescent="0.25">
      <c r="B13" s="24">
        <f>Assumptions!I23</f>
        <v>0.4</v>
      </c>
      <c r="C13" s="15" t="s">
        <v>92</v>
      </c>
      <c r="D13">
        <f>IF('Macro Site '!$C$27="Yes", B13*SUM('Macro -Time Line'!$E$31:$H$31),0)</f>
        <v>0</v>
      </c>
      <c r="E13" s="21">
        <f>Assumptions!I6</f>
        <v>62780</v>
      </c>
      <c r="F13" s="17">
        <f>Assumptions!O75</f>
        <v>1</v>
      </c>
    </row>
    <row r="14" spans="1:24" x14ac:dyDescent="0.25">
      <c r="C14" s="15" t="s">
        <v>61</v>
      </c>
      <c r="E14" s="22">
        <f>E13+D13</f>
        <v>62780</v>
      </c>
      <c r="F14" s="17">
        <f>Assumptions!$I$6*('Macro -Time Line'!F12-'Macro -Time Line'!E12)</f>
        <v>0</v>
      </c>
      <c r="G14" s="17">
        <f>Assumptions!$I$6*('Macro -Time Line'!G12-'Macro -Time Line'!F12)</f>
        <v>0</v>
      </c>
      <c r="H14" s="17">
        <f>Assumptions!$I$6*('Macro -Time Line'!H12-'Macro -Time Line'!G12)</f>
        <v>0</v>
      </c>
      <c r="I14" s="17">
        <f>Assumptions!$I$6*('Macro -Time Line'!I12-'Macro -Time Line'!H12)</f>
        <v>62780</v>
      </c>
      <c r="J14" s="17">
        <f>Assumptions!$I$6*('Macro -Time Line'!J12-'Macro -Time Line'!I12)</f>
        <v>0</v>
      </c>
      <c r="K14" s="17">
        <f>Assumptions!$I$6*('Macro -Time Line'!K12-'Macro -Time Line'!J12)</f>
        <v>62780</v>
      </c>
      <c r="L14" s="17">
        <f>Assumptions!$I$6*('Macro -Time Line'!L12-'Macro -Time Line'!K12)</f>
        <v>0</v>
      </c>
      <c r="M14" s="17">
        <f>Assumptions!$I$6*('Macro -Time Line'!M12-'Macro -Time Line'!L12)</f>
        <v>125560</v>
      </c>
      <c r="N14" s="17">
        <f>Assumptions!$I$6*('Macro -Time Line'!N12-'Macro -Time Line'!M12)</f>
        <v>62780</v>
      </c>
      <c r="O14" s="17">
        <f>Assumptions!$I$6*('Macro -Time Line'!O12-'Macro -Time Line'!N12)</f>
        <v>125560</v>
      </c>
      <c r="P14" s="17">
        <f>Assumptions!$I$6*('Macro -Time Line'!P12-'Macro -Time Line'!O12)</f>
        <v>62780</v>
      </c>
      <c r="Q14" s="17">
        <f>Assumptions!$I$6*('Macro -Time Line'!Q12-'Macro -Time Line'!P12)</f>
        <v>62780</v>
      </c>
      <c r="R14" s="17">
        <f>Assumptions!$I$6*('Macro -Time Line'!R12-'Macro -Time Line'!Q12)</f>
        <v>62780</v>
      </c>
      <c r="S14" s="17">
        <f>Assumptions!$I$6*('Macro -Time Line'!S12-'Macro -Time Line'!R12)</f>
        <v>62780</v>
      </c>
      <c r="T14" s="17">
        <f>Assumptions!$I$6*('Macro -Time Line'!T12-'Macro -Time Line'!S12)</f>
        <v>62780</v>
      </c>
      <c r="U14" s="17">
        <f>Assumptions!$I$6*('Macro -Time Line'!U12-'Macro -Time Line'!T12)</f>
        <v>62780</v>
      </c>
      <c r="V14" s="17">
        <f>Assumptions!$I$6*('Macro -Time Line'!V12-'Macro -Time Line'!U12)</f>
        <v>62780</v>
      </c>
      <c r="W14" s="17">
        <f>Assumptions!$I$6*('Macro -Time Line'!W12-'Macro -Time Line'!V12)</f>
        <v>125560</v>
      </c>
      <c r="X14" s="17">
        <f>Assumptions!$I$6*('Macro -Time Line'!X12-'Macro -Time Line'!W12)</f>
        <v>62780</v>
      </c>
    </row>
    <row r="15" spans="1:24" x14ac:dyDescent="0.25">
      <c r="C15" s="15" t="s">
        <v>83</v>
      </c>
      <c r="E15" s="17">
        <f>3*SUM(E41:E60)</f>
        <v>3818.8561002798324</v>
      </c>
      <c r="F15" s="17">
        <f t="shared" ref="F15:X15" si="1">3*SUM(F41:F60)</f>
        <v>3818.8561002798324</v>
      </c>
      <c r="G15" s="17">
        <f t="shared" si="1"/>
        <v>3818.8561002798324</v>
      </c>
      <c r="H15" s="17">
        <f t="shared" si="1"/>
        <v>3818.8561002798324</v>
      </c>
      <c r="I15" s="17">
        <f>3*SUM(I41:I60)</f>
        <v>7637.7122005596648</v>
      </c>
      <c r="J15" s="17">
        <f t="shared" si="1"/>
        <v>7637.7122005596648</v>
      </c>
      <c r="K15" s="17">
        <f t="shared" si="1"/>
        <v>11456.568300839497</v>
      </c>
      <c r="L15" s="17">
        <f t="shared" si="1"/>
        <v>11456.568300839497</v>
      </c>
      <c r="M15" s="17">
        <f t="shared" si="1"/>
        <v>19094.28050139916</v>
      </c>
      <c r="N15" s="17">
        <f t="shared" si="1"/>
        <v>22913.136601678994</v>
      </c>
      <c r="O15" s="17">
        <f t="shared" si="1"/>
        <v>30550.848802238659</v>
      </c>
      <c r="P15" s="17">
        <f t="shared" si="1"/>
        <v>34369.70490251849</v>
      </c>
      <c r="Q15" s="17">
        <f t="shared" si="1"/>
        <v>38188.56100279832</v>
      </c>
      <c r="R15" s="17">
        <f t="shared" si="1"/>
        <v>42007.417103078158</v>
      </c>
      <c r="S15" s="17">
        <f t="shared" si="1"/>
        <v>45826.273203357989</v>
      </c>
      <c r="T15" s="17">
        <f t="shared" si="1"/>
        <v>49645.129303637827</v>
      </c>
      <c r="U15" s="17">
        <f t="shared" si="1"/>
        <v>49645.129303637827</v>
      </c>
      <c r="V15" s="17">
        <f t="shared" si="1"/>
        <v>53463.985403917664</v>
      </c>
      <c r="W15" s="17">
        <f t="shared" si="1"/>
        <v>61101.697604477333</v>
      </c>
      <c r="X15" s="17">
        <f t="shared" si="1"/>
        <v>64920.553704757156</v>
      </c>
    </row>
    <row r="16" spans="1:24" x14ac:dyDescent="0.25">
      <c r="E16" s="23"/>
      <c r="F16" s="23"/>
      <c r="G16" s="23"/>
      <c r="H16" s="23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3:24" x14ac:dyDescent="0.25">
      <c r="C17" s="27" t="s">
        <v>115</v>
      </c>
      <c r="E17" s="23">
        <v>50</v>
      </c>
      <c r="F17" s="23"/>
      <c r="G17" s="23"/>
      <c r="H17" s="23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3:24" x14ac:dyDescent="0.25">
      <c r="C18" s="15" t="s">
        <v>71</v>
      </c>
      <c r="E18" s="23">
        <f>IF(E17-E5&gt;0,0,E5-50)</f>
        <v>0</v>
      </c>
      <c r="F18" s="23">
        <f>IF(E17&gt;E5+F5,0,(F5+E5)-E17)</f>
        <v>100</v>
      </c>
      <c r="G18" s="23">
        <f t="shared" ref="G18:X18" si="2">G5-F5</f>
        <v>50</v>
      </c>
      <c r="H18" s="23">
        <f t="shared" si="2"/>
        <v>50</v>
      </c>
      <c r="I18" s="23">
        <f t="shared" si="2"/>
        <v>100</v>
      </c>
      <c r="J18" s="23">
        <f t="shared" si="2"/>
        <v>100</v>
      </c>
      <c r="K18" s="23">
        <f t="shared" si="2"/>
        <v>100</v>
      </c>
      <c r="L18" s="23">
        <f t="shared" si="2"/>
        <v>100</v>
      </c>
      <c r="M18" s="23">
        <f t="shared" si="2"/>
        <v>300</v>
      </c>
      <c r="N18" s="23">
        <f t="shared" si="2"/>
        <v>300</v>
      </c>
      <c r="O18" s="23">
        <f t="shared" si="2"/>
        <v>300</v>
      </c>
      <c r="P18" s="23">
        <f t="shared" si="2"/>
        <v>300</v>
      </c>
      <c r="Q18" s="23">
        <f t="shared" si="2"/>
        <v>175</v>
      </c>
      <c r="R18" s="23">
        <f t="shared" si="2"/>
        <v>175</v>
      </c>
      <c r="S18" s="23">
        <f t="shared" si="2"/>
        <v>175</v>
      </c>
      <c r="T18" s="23">
        <f t="shared" si="2"/>
        <v>175</v>
      </c>
      <c r="U18" s="23">
        <f t="shared" si="2"/>
        <v>250</v>
      </c>
      <c r="V18" s="23">
        <f t="shared" si="2"/>
        <v>250</v>
      </c>
      <c r="W18" s="23">
        <f t="shared" si="2"/>
        <v>250</v>
      </c>
      <c r="X18" s="23">
        <f t="shared" si="2"/>
        <v>250</v>
      </c>
    </row>
    <row r="19" spans="3:24" x14ac:dyDescent="0.25">
      <c r="C19" s="15" t="s">
        <v>72</v>
      </c>
      <c r="E19" s="23">
        <f>E17*Assumptions!$F$167</f>
        <v>18704</v>
      </c>
      <c r="F19" s="23">
        <f>F18*Assumptions!$F$167</f>
        <v>37408</v>
      </c>
      <c r="G19" s="23">
        <f>G18*Assumptions!$F$167</f>
        <v>18704</v>
      </c>
      <c r="H19" s="23">
        <f>H18*Assumptions!$F$167</f>
        <v>18704</v>
      </c>
      <c r="I19" s="23">
        <f>I18*Assumptions!$F$167</f>
        <v>37408</v>
      </c>
      <c r="J19" s="23">
        <f>J18*Assumptions!$F$167</f>
        <v>37408</v>
      </c>
      <c r="K19" s="23">
        <f>K18*Assumptions!$F$167</f>
        <v>37408</v>
      </c>
      <c r="L19" s="23">
        <f>L18*Assumptions!$F$167</f>
        <v>37408</v>
      </c>
      <c r="M19" s="23">
        <f>M18*Assumptions!$F$167</f>
        <v>112224</v>
      </c>
      <c r="N19" s="23">
        <f>N18*Assumptions!$F$167</f>
        <v>112224</v>
      </c>
      <c r="O19" s="23">
        <f>O18*Assumptions!$F$167</f>
        <v>112224</v>
      </c>
      <c r="P19" s="23">
        <f>P18*Assumptions!$F$167</f>
        <v>112224</v>
      </c>
      <c r="Q19" s="23">
        <f>Q18*Assumptions!$F$167</f>
        <v>65464</v>
      </c>
      <c r="R19" s="23">
        <f>R18*Assumptions!$F$167</f>
        <v>65464</v>
      </c>
      <c r="S19" s="23">
        <f>S18*Assumptions!$F$167</f>
        <v>65464</v>
      </c>
      <c r="T19" s="23">
        <f>T18*Assumptions!$F$167</f>
        <v>65464</v>
      </c>
      <c r="U19" s="23">
        <f>U18*Assumptions!$F$167</f>
        <v>93520</v>
      </c>
      <c r="V19" s="23">
        <f>V18*Assumptions!$F$167</f>
        <v>93520</v>
      </c>
      <c r="W19" s="23">
        <f>W18*Assumptions!$F$167</f>
        <v>93520</v>
      </c>
      <c r="X19" s="23">
        <f>X18*Assumptions!$F$167</f>
        <v>93520</v>
      </c>
    </row>
    <row r="20" spans="3:24" x14ac:dyDescent="0.25">
      <c r="C20" s="15" t="s">
        <v>66</v>
      </c>
      <c r="E20" s="23">
        <f t="shared" ref="E20:X20" si="3">3*SUM(E65:E84)</f>
        <v>0</v>
      </c>
      <c r="F20" s="23">
        <f t="shared" si="3"/>
        <v>2275.4980726229364</v>
      </c>
      <c r="G20" s="23">
        <f t="shared" si="3"/>
        <v>3413.2471089344044</v>
      </c>
      <c r="H20" s="23">
        <f t="shared" si="3"/>
        <v>4550.9961452458729</v>
      </c>
      <c r="I20" s="23">
        <f t="shared" si="3"/>
        <v>6826.4942178688088</v>
      </c>
      <c r="J20" s="23">
        <f t="shared" si="3"/>
        <v>9101.9922904917457</v>
      </c>
      <c r="K20" s="23">
        <f t="shared" si="3"/>
        <v>11377.490363114683</v>
      </c>
      <c r="L20" s="23">
        <f t="shared" si="3"/>
        <v>13652.988435737618</v>
      </c>
      <c r="M20" s="23">
        <f t="shared" si="3"/>
        <v>20479.482653606428</v>
      </c>
      <c r="N20" s="23">
        <f t="shared" si="3"/>
        <v>27305.976871475235</v>
      </c>
      <c r="O20" s="23">
        <f t="shared" si="3"/>
        <v>34132.47108934405</v>
      </c>
      <c r="P20" s="23">
        <f t="shared" si="3"/>
        <v>40958.965307212857</v>
      </c>
      <c r="Q20" s="23">
        <f t="shared" si="3"/>
        <v>44941.086934302992</v>
      </c>
      <c r="R20" s="23">
        <f t="shared" si="3"/>
        <v>48923.208561393134</v>
      </c>
      <c r="S20" s="23">
        <f t="shared" si="3"/>
        <v>52905.330188483269</v>
      </c>
      <c r="T20" s="23">
        <f t="shared" si="3"/>
        <v>56887.451815573411</v>
      </c>
      <c r="U20" s="23">
        <f t="shared" si="3"/>
        <v>62576.196997130748</v>
      </c>
      <c r="V20" s="23">
        <f t="shared" si="3"/>
        <v>65989.444106065144</v>
      </c>
      <c r="W20" s="23">
        <f t="shared" si="3"/>
        <v>70540.440251311025</v>
      </c>
      <c r="X20" s="23">
        <f t="shared" si="3"/>
        <v>73221.547315279386</v>
      </c>
    </row>
    <row r="21" spans="3:24" x14ac:dyDescent="0.25">
      <c r="C21" s="27" t="s">
        <v>108</v>
      </c>
      <c r="D21">
        <f>H20*4</f>
        <v>18203.984580983491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3:24" x14ac:dyDescent="0.25">
      <c r="C22" s="15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3:24" x14ac:dyDescent="0.25">
      <c r="C23" s="15" t="s">
        <v>73</v>
      </c>
      <c r="E23" s="23">
        <f t="shared" ref="E23:X23" si="4">E15+E20</f>
        <v>3818.8561002798324</v>
      </c>
      <c r="F23" s="23">
        <f t="shared" si="4"/>
        <v>6094.3541729027693</v>
      </c>
      <c r="G23" s="23">
        <f t="shared" si="4"/>
        <v>7232.1032092142368</v>
      </c>
      <c r="H23" s="23">
        <f t="shared" si="4"/>
        <v>8369.8522455257043</v>
      </c>
      <c r="I23" s="23">
        <f t="shared" si="4"/>
        <v>14464.206418428474</v>
      </c>
      <c r="J23" s="23">
        <f t="shared" si="4"/>
        <v>16739.704491051409</v>
      </c>
      <c r="K23" s="23">
        <f t="shared" si="4"/>
        <v>22834.05866395418</v>
      </c>
      <c r="L23" s="23">
        <f t="shared" si="4"/>
        <v>25109.556736577113</v>
      </c>
      <c r="M23" s="23">
        <f t="shared" si="4"/>
        <v>39573.763155005588</v>
      </c>
      <c r="N23" s="23">
        <f t="shared" si="4"/>
        <v>50219.113473154226</v>
      </c>
      <c r="O23" s="23">
        <f t="shared" si="4"/>
        <v>64683.319891582709</v>
      </c>
      <c r="P23" s="23">
        <f t="shared" si="4"/>
        <v>75328.670209731354</v>
      </c>
      <c r="Q23" s="23">
        <f t="shared" si="4"/>
        <v>83129.647937101312</v>
      </c>
      <c r="R23" s="23">
        <f t="shared" si="4"/>
        <v>90930.625664471299</v>
      </c>
      <c r="S23" s="23">
        <f t="shared" si="4"/>
        <v>98731.603391841258</v>
      </c>
      <c r="T23" s="23">
        <f t="shared" si="4"/>
        <v>106532.58111921125</v>
      </c>
      <c r="U23" s="23">
        <f t="shared" si="4"/>
        <v>112221.32630076857</v>
      </c>
      <c r="V23" s="23">
        <f t="shared" si="4"/>
        <v>119453.42950998282</v>
      </c>
      <c r="W23" s="23">
        <f t="shared" si="4"/>
        <v>131642.13785578834</v>
      </c>
      <c r="X23" s="23">
        <f t="shared" si="4"/>
        <v>138142.10102003656</v>
      </c>
    </row>
    <row r="24" spans="3:24" x14ac:dyDescent="0.25">
      <c r="E24" s="23"/>
      <c r="F24" s="23"/>
      <c r="G24" s="23"/>
      <c r="H24" s="2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3:24" x14ac:dyDescent="0.25">
      <c r="C25" s="15" t="s">
        <v>74</v>
      </c>
      <c r="D25" s="5">
        <f>Assumptions!I24</f>
        <v>650</v>
      </c>
      <c r="E25" s="23">
        <f t="shared" ref="E25:X25" si="5">$D$25*3*E12</f>
        <v>1950</v>
      </c>
      <c r="F25" s="23">
        <f t="shared" si="5"/>
        <v>1950</v>
      </c>
      <c r="G25" s="23">
        <f t="shared" si="5"/>
        <v>1950</v>
      </c>
      <c r="H25" s="23">
        <f t="shared" si="5"/>
        <v>1950</v>
      </c>
      <c r="I25" s="23">
        <f t="shared" si="5"/>
        <v>3900</v>
      </c>
      <c r="J25" s="23">
        <f t="shared" si="5"/>
        <v>3900</v>
      </c>
      <c r="K25" s="23">
        <f t="shared" si="5"/>
        <v>5850</v>
      </c>
      <c r="L25" s="23">
        <f t="shared" si="5"/>
        <v>5850</v>
      </c>
      <c r="M25" s="23">
        <f t="shared" si="5"/>
        <v>9750</v>
      </c>
      <c r="N25" s="23">
        <f t="shared" si="5"/>
        <v>11700</v>
      </c>
      <c r="O25" s="23">
        <f t="shared" si="5"/>
        <v>15600</v>
      </c>
      <c r="P25" s="23">
        <f t="shared" si="5"/>
        <v>17550</v>
      </c>
      <c r="Q25" s="23">
        <f t="shared" si="5"/>
        <v>19500</v>
      </c>
      <c r="R25" s="23">
        <f t="shared" si="5"/>
        <v>21450</v>
      </c>
      <c r="S25" s="23">
        <f t="shared" si="5"/>
        <v>23400</v>
      </c>
      <c r="T25" s="23">
        <f t="shared" si="5"/>
        <v>25350</v>
      </c>
      <c r="U25" s="23">
        <f t="shared" si="5"/>
        <v>27300</v>
      </c>
      <c r="V25" s="23">
        <f t="shared" si="5"/>
        <v>29250</v>
      </c>
      <c r="W25" s="23">
        <f t="shared" si="5"/>
        <v>33150</v>
      </c>
      <c r="X25" s="23">
        <f t="shared" si="5"/>
        <v>35100</v>
      </c>
    </row>
    <row r="26" spans="3:24" ht="13.5" customHeight="1" x14ac:dyDescent="0.25">
      <c r="C26" s="15" t="s">
        <v>76</v>
      </c>
      <c r="E26" s="23">
        <f>3*VLOOKUP(E$5,Assumptions!$K$12:$N$64,3,TRUE)</f>
        <v>3000</v>
      </c>
      <c r="F26" s="23">
        <f>3*VLOOKUP(F$5,Assumptions!$K$12:$N$64,3,TRUE)</f>
        <v>3000</v>
      </c>
      <c r="G26" s="23">
        <f>3*VLOOKUP(G$5,Assumptions!$K$12:$N$64,3,TRUE)</f>
        <v>3000</v>
      </c>
      <c r="H26" s="23">
        <f>3*VLOOKUP(H$5,Assumptions!$K$12:$N$64,3,TRUE)</f>
        <v>4500</v>
      </c>
      <c r="I26" s="23">
        <f>3*VLOOKUP(I$5,Assumptions!$K$12:$N$64,3,TRUE)</f>
        <v>5595</v>
      </c>
      <c r="J26" s="23">
        <f>3*VLOOKUP(J$5,Assumptions!$K$12:$N$64,3,TRUE)</f>
        <v>6690</v>
      </c>
      <c r="K26" s="23">
        <f>3*VLOOKUP(K$5,Assumptions!$K$12:$N$64,3,TRUE)</f>
        <v>7785</v>
      </c>
      <c r="L26" s="23">
        <f>3*VLOOKUP(L$5,Assumptions!$K$12:$N$64,3,TRUE)</f>
        <v>8825.25</v>
      </c>
      <c r="M26" s="23">
        <f>3*VLOOKUP(M$5,Assumptions!$K$12:$N$64,3,TRUE)</f>
        <v>11946</v>
      </c>
      <c r="N26" s="23">
        <f>3*VLOOKUP(N$5,Assumptions!$K$12:$N$64,3,TRUE)</f>
        <v>15066.75</v>
      </c>
      <c r="O26" s="23">
        <f>3*VLOOKUP(O$5,Assumptions!$K$12:$N$64,3,TRUE)</f>
        <v>18187.5</v>
      </c>
      <c r="P26" s="23">
        <f>3*VLOOKUP(P$5,Assumptions!$K$12:$N$64,3,TRUE)</f>
        <v>21308.25</v>
      </c>
      <c r="Q26" s="23">
        <f>3*VLOOKUP(Q$5,Assumptions!$K$12:$N$64,3,TRUE)</f>
        <v>22348.5</v>
      </c>
      <c r="R26" s="23">
        <f>3*VLOOKUP(R$5,Assumptions!$K$12:$N$64,3,TRUE)</f>
        <v>24429</v>
      </c>
      <c r="S26" s="23">
        <f>3*VLOOKUP(S$5,Assumptions!$K$12:$N$64,3,TRUE)</f>
        <v>26509.5</v>
      </c>
      <c r="T26" s="23">
        <f>3*VLOOKUP(T$5,Assumptions!$K$12:$N$64,3,TRUE)</f>
        <v>28590</v>
      </c>
      <c r="U26" s="23">
        <f>3*VLOOKUP(U$5,Assumptions!$K$12:$N$64,3,TRUE)</f>
        <v>30670.5</v>
      </c>
      <c r="V26" s="23">
        <f>3*VLOOKUP(V$5,Assumptions!$K$12:$N$64,3,TRUE)</f>
        <v>33791.25</v>
      </c>
      <c r="W26" s="23">
        <f>3*VLOOKUP(W$5,Assumptions!$K$12:$N$64,3,TRUE)</f>
        <v>35871.75</v>
      </c>
      <c r="X26" s="23">
        <f>3*VLOOKUP(X$5,Assumptions!$K$12:$N$64,3,TRUE)</f>
        <v>38992.5</v>
      </c>
    </row>
    <row r="27" spans="3:24" x14ac:dyDescent="0.25">
      <c r="C27" s="15" t="s">
        <v>78</v>
      </c>
      <c r="E27" s="23">
        <f>E26+E25</f>
        <v>4950</v>
      </c>
      <c r="F27" s="23">
        <f t="shared" ref="F27:X27" si="6">F26+F25</f>
        <v>4950</v>
      </c>
      <c r="G27" s="23">
        <f t="shared" si="6"/>
        <v>4950</v>
      </c>
      <c r="H27" s="23">
        <f t="shared" si="6"/>
        <v>6450</v>
      </c>
      <c r="I27" s="23">
        <f t="shared" si="6"/>
        <v>9495</v>
      </c>
      <c r="J27" s="23">
        <f t="shared" si="6"/>
        <v>10590</v>
      </c>
      <c r="K27" s="23">
        <f t="shared" si="6"/>
        <v>13635</v>
      </c>
      <c r="L27" s="23">
        <f t="shared" si="6"/>
        <v>14675.25</v>
      </c>
      <c r="M27" s="23">
        <f t="shared" si="6"/>
        <v>21696</v>
      </c>
      <c r="N27" s="23">
        <f t="shared" si="6"/>
        <v>26766.75</v>
      </c>
      <c r="O27" s="23">
        <f t="shared" si="6"/>
        <v>33787.5</v>
      </c>
      <c r="P27" s="23">
        <f t="shared" si="6"/>
        <v>38858.25</v>
      </c>
      <c r="Q27" s="23">
        <f t="shared" si="6"/>
        <v>41848.5</v>
      </c>
      <c r="R27" s="23">
        <f t="shared" si="6"/>
        <v>45879</v>
      </c>
      <c r="S27" s="23">
        <f t="shared" si="6"/>
        <v>49909.5</v>
      </c>
      <c r="T27" s="23">
        <f t="shared" si="6"/>
        <v>53940</v>
      </c>
      <c r="U27" s="23">
        <f t="shared" si="6"/>
        <v>57970.5</v>
      </c>
      <c r="V27" s="23">
        <f t="shared" si="6"/>
        <v>63041.25</v>
      </c>
      <c r="W27" s="23">
        <f t="shared" si="6"/>
        <v>69021.75</v>
      </c>
      <c r="X27" s="23">
        <f t="shared" si="6"/>
        <v>74092.5</v>
      </c>
    </row>
    <row r="28" spans="3:24" x14ac:dyDescent="0.25">
      <c r="C28" s="15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3:24" x14ac:dyDescent="0.25">
      <c r="C29" s="15" t="s">
        <v>88</v>
      </c>
      <c r="E29" s="23">
        <f>VLOOKUP(E$5,Assumptions!$K$12:$N$64,4,TRUE)</f>
        <v>199</v>
      </c>
      <c r="F29" s="23">
        <f>3*VLOOKUP(F$5,Assumptions!$K$12:$N$64,4,TRUE)</f>
        <v>597</v>
      </c>
      <c r="G29" s="23">
        <f>3*VLOOKUP(G$5,Assumptions!$K$12:$N$64,4,TRUE)</f>
        <v>597</v>
      </c>
      <c r="H29" s="23">
        <f>3*VLOOKUP(H$5,Assumptions!$K$12:$N$64,4,TRUE)</f>
        <v>1194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3:24" x14ac:dyDescent="0.25">
      <c r="C30" s="15" t="s">
        <v>87</v>
      </c>
      <c r="E30" s="23">
        <f>$D$35*6*(E5/3)</f>
        <v>2040</v>
      </c>
      <c r="F30" s="23">
        <f>$D$35*6*((F5-E5)/3)+E30</f>
        <v>4080</v>
      </c>
      <c r="G30" s="23">
        <f>$D$35*6*((G5-F5)/3)+F30</f>
        <v>6120</v>
      </c>
      <c r="H30" s="23">
        <f>$D$35*6*((H5-G5)/3)+G30</f>
        <v>8160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3:24" x14ac:dyDescent="0.25">
      <c r="C31" s="15" t="s">
        <v>90</v>
      </c>
      <c r="D31" s="17">
        <f>SUM(E31:H31)</f>
        <v>22788</v>
      </c>
      <c r="E31" s="23">
        <f>E34+E30</f>
        <v>2040</v>
      </c>
      <c r="F31" s="23">
        <f>F29+F30</f>
        <v>4677</v>
      </c>
      <c r="G31" s="23">
        <f>G29+G30</f>
        <v>6717</v>
      </c>
      <c r="H31" s="23">
        <f>H29+H30</f>
        <v>9354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3:24" x14ac:dyDescent="0.25">
      <c r="C32" s="27" t="s">
        <v>107</v>
      </c>
      <c r="D32" s="17">
        <f>(H29+H30)*4</f>
        <v>37416</v>
      </c>
      <c r="E32" s="23"/>
      <c r="F32" s="23"/>
      <c r="G32" s="23"/>
      <c r="H32" s="23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2:24" x14ac:dyDescent="0.25">
      <c r="E33" s="23"/>
      <c r="F33" s="23"/>
      <c r="G33" s="23"/>
      <c r="H33" s="23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2:24" x14ac:dyDescent="0.25">
      <c r="C34" s="15" t="s">
        <v>77</v>
      </c>
      <c r="E34" s="23"/>
      <c r="F34" s="17"/>
      <c r="G34" s="17"/>
      <c r="H34" s="17"/>
      <c r="I34" s="23">
        <f>3*VLOOKUP(I$5,Assumptions!$K$12:$N$64,4,TRUE)</f>
        <v>1791</v>
      </c>
      <c r="J34" s="23">
        <f>3*VLOOKUP(J$5,Assumptions!$K$12:$N$64,4,TRUE)</f>
        <v>2388</v>
      </c>
      <c r="K34" s="23">
        <f>3*VLOOKUP(K$5,Assumptions!$K$12:$N$64,4,TRUE)</f>
        <v>2985</v>
      </c>
      <c r="L34" s="23">
        <f>3*VLOOKUP(L$5,Assumptions!$K$12:$N$64,4,TRUE)</f>
        <v>3552.1499999999996</v>
      </c>
      <c r="M34" s="23">
        <f>3*VLOOKUP(M$5,Assumptions!$K$12:$N$64,4,TRUE)</f>
        <v>5253.6</v>
      </c>
      <c r="N34" s="23">
        <f>3*VLOOKUP(N$5,Assumptions!$K$12:$N$64,4,TRUE)</f>
        <v>6955.0499999999993</v>
      </c>
      <c r="O34" s="23">
        <f>3*VLOOKUP(O$5,Assumptions!$K$12:$N$64,4,TRUE)</f>
        <v>8656.5</v>
      </c>
      <c r="P34" s="23">
        <f>3*VLOOKUP(P$5,Assumptions!$K$12:$N$64,4,TRUE)</f>
        <v>10357.950000000001</v>
      </c>
      <c r="Q34" s="23">
        <f>3*VLOOKUP(Q$5,Assumptions!$K$12:$N$64,4,TRUE)</f>
        <v>10925.099999999999</v>
      </c>
      <c r="R34" s="23">
        <f>3*VLOOKUP(R$5,Assumptions!$K$12:$N$64,4,TRUE)</f>
        <v>12059.400000000001</v>
      </c>
      <c r="S34" s="23">
        <f>3*VLOOKUP(S$5,Assumptions!$K$12:$N$64,4,TRUE)</f>
        <v>13193.699999999999</v>
      </c>
      <c r="T34" s="23">
        <f>3*VLOOKUP(T$5,Assumptions!$K$12:$N$64,4,TRUE)</f>
        <v>14328</v>
      </c>
      <c r="U34" s="23">
        <f>3*VLOOKUP(U$5,Assumptions!$K$12:$N$64,4,TRUE)</f>
        <v>15462.300000000001</v>
      </c>
      <c r="V34" s="23">
        <f>3*VLOOKUP(V$5,Assumptions!$K$12:$N$64,4,TRUE)</f>
        <v>17163.75</v>
      </c>
      <c r="W34" s="23">
        <f>3*VLOOKUP(W$5,Assumptions!$K$12:$N$64,4,TRUE)</f>
        <v>18298.050000000003</v>
      </c>
      <c r="X34" s="23">
        <f>3*VLOOKUP(X$5,Assumptions!$K$12:$N$64,4,TRUE)</f>
        <v>19999.5</v>
      </c>
    </row>
    <row r="35" spans="2:24" x14ac:dyDescent="0.25">
      <c r="C35" s="15" t="s">
        <v>79</v>
      </c>
      <c r="D35" s="10">
        <f>Assumptions!E116</f>
        <v>20.399999999999999</v>
      </c>
      <c r="E35" s="17"/>
      <c r="F35" s="17"/>
      <c r="G35" s="17"/>
      <c r="H35" s="17"/>
      <c r="I35" s="23">
        <f>$D$35*6*((I5-H5)/3)+H30</f>
        <v>12240</v>
      </c>
      <c r="J35" s="23">
        <f t="shared" ref="J35:X35" si="7">$D$35*6*((J5-I5)/3)+I35</f>
        <v>16320</v>
      </c>
      <c r="K35" s="23">
        <f t="shared" si="7"/>
        <v>20400</v>
      </c>
      <c r="L35" s="23">
        <f t="shared" si="7"/>
        <v>24480</v>
      </c>
      <c r="M35" s="23">
        <f t="shared" si="7"/>
        <v>36720</v>
      </c>
      <c r="N35" s="23">
        <f t="shared" si="7"/>
        <v>48960</v>
      </c>
      <c r="O35" s="23">
        <f t="shared" si="7"/>
        <v>61200</v>
      </c>
      <c r="P35" s="23">
        <f t="shared" si="7"/>
        <v>73440</v>
      </c>
      <c r="Q35" s="23">
        <f t="shared" si="7"/>
        <v>80580</v>
      </c>
      <c r="R35" s="23">
        <f t="shared" si="7"/>
        <v>87720</v>
      </c>
      <c r="S35" s="23">
        <f t="shared" si="7"/>
        <v>94860</v>
      </c>
      <c r="T35" s="23">
        <f t="shared" si="7"/>
        <v>102000</v>
      </c>
      <c r="U35" s="23">
        <f t="shared" si="7"/>
        <v>112200</v>
      </c>
      <c r="V35" s="23">
        <f t="shared" si="7"/>
        <v>122400</v>
      </c>
      <c r="W35" s="23">
        <f t="shared" si="7"/>
        <v>132600</v>
      </c>
      <c r="X35" s="23">
        <f t="shared" si="7"/>
        <v>142800</v>
      </c>
    </row>
    <row r="36" spans="2:24" x14ac:dyDescent="0.25">
      <c r="C36" s="15" t="s">
        <v>80</v>
      </c>
      <c r="E36" s="17">
        <f>IF($D$13&lt;&gt;0,$B$13*E31,E31)</f>
        <v>2040</v>
      </c>
      <c r="F36" s="17">
        <f>IF($D$13&lt;&gt;0,$B$13*F31,F31)</f>
        <v>4677</v>
      </c>
      <c r="G36" s="17">
        <f>IF($D$13&lt;&gt;0,$B$13*G31,G31)</f>
        <v>6717</v>
      </c>
      <c r="H36" s="17">
        <f>IF($D$13&lt;&gt;0,$B$13*H31,H31)</f>
        <v>9354</v>
      </c>
      <c r="I36" s="23">
        <f t="shared" ref="I36:X36" si="8">I34+I35</f>
        <v>14031</v>
      </c>
      <c r="J36" s="23">
        <f t="shared" si="8"/>
        <v>18708</v>
      </c>
      <c r="K36" s="23">
        <f t="shared" si="8"/>
        <v>23385</v>
      </c>
      <c r="L36" s="23">
        <f t="shared" si="8"/>
        <v>28032.15</v>
      </c>
      <c r="M36" s="23">
        <f t="shared" si="8"/>
        <v>41973.599999999999</v>
      </c>
      <c r="N36" s="23">
        <f t="shared" si="8"/>
        <v>55915.05</v>
      </c>
      <c r="O36" s="23">
        <f t="shared" si="8"/>
        <v>69856.5</v>
      </c>
      <c r="P36" s="23">
        <f t="shared" si="8"/>
        <v>83797.95</v>
      </c>
      <c r="Q36" s="23">
        <f t="shared" si="8"/>
        <v>91505.1</v>
      </c>
      <c r="R36" s="23">
        <f t="shared" si="8"/>
        <v>99779.4</v>
      </c>
      <c r="S36" s="23">
        <f t="shared" si="8"/>
        <v>108053.7</v>
      </c>
      <c r="T36" s="23">
        <f t="shared" si="8"/>
        <v>116328</v>
      </c>
      <c r="U36" s="23">
        <f t="shared" si="8"/>
        <v>127662.3</v>
      </c>
      <c r="V36" s="23">
        <f t="shared" si="8"/>
        <v>139563.75</v>
      </c>
      <c r="W36" s="23">
        <f t="shared" si="8"/>
        <v>150898.04999999999</v>
      </c>
      <c r="X36" s="23">
        <f t="shared" si="8"/>
        <v>162799.5</v>
      </c>
    </row>
    <row r="37" spans="2:24" x14ac:dyDescent="0.25">
      <c r="E37" s="23"/>
      <c r="F37" s="23"/>
      <c r="G37" s="23"/>
      <c r="H37" s="23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2:24" x14ac:dyDescent="0.25">
      <c r="E38" s="23"/>
      <c r="F38" s="23"/>
      <c r="G38" s="23"/>
      <c r="H38" s="23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2:24" x14ac:dyDescent="0.25">
      <c r="C39" s="15" t="s">
        <v>65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2:24" x14ac:dyDescent="0.25">
      <c r="C40" s="15" t="s">
        <v>67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2:24" x14ac:dyDescent="0.25">
      <c r="C41" s="15" t="s">
        <v>89</v>
      </c>
      <c r="D41">
        <v>1</v>
      </c>
      <c r="E41" s="17">
        <f>E14/Assumptions!I21</f>
        <v>1272.9520334266108</v>
      </c>
      <c r="F41" s="17">
        <f>E41</f>
        <v>1272.9520334266108</v>
      </c>
      <c r="G41" s="17">
        <f t="shared" ref="G41:T41" si="9">F41</f>
        <v>1272.9520334266108</v>
      </c>
      <c r="H41" s="17">
        <f t="shared" si="9"/>
        <v>1272.9520334266108</v>
      </c>
      <c r="I41" s="17">
        <f t="shared" si="9"/>
        <v>1272.9520334266108</v>
      </c>
      <c r="J41" s="17">
        <f t="shared" si="9"/>
        <v>1272.9520334266108</v>
      </c>
      <c r="K41" s="17">
        <f t="shared" si="9"/>
        <v>1272.9520334266108</v>
      </c>
      <c r="L41" s="17">
        <f t="shared" si="9"/>
        <v>1272.9520334266108</v>
      </c>
      <c r="M41" s="17">
        <f t="shared" si="9"/>
        <v>1272.9520334266108</v>
      </c>
      <c r="N41" s="17">
        <f t="shared" si="9"/>
        <v>1272.9520334266108</v>
      </c>
      <c r="O41" s="17">
        <f t="shared" si="9"/>
        <v>1272.9520334266108</v>
      </c>
      <c r="P41" s="17">
        <f t="shared" si="9"/>
        <v>1272.9520334266108</v>
      </c>
      <c r="Q41" s="17">
        <f t="shared" si="9"/>
        <v>1272.9520334266108</v>
      </c>
      <c r="R41" s="17">
        <f t="shared" si="9"/>
        <v>1272.9520334266108</v>
      </c>
      <c r="S41" s="17">
        <f t="shared" si="9"/>
        <v>1272.9520334266108</v>
      </c>
      <c r="T41" s="17">
        <f t="shared" si="9"/>
        <v>1272.9520334266108</v>
      </c>
      <c r="U41" s="17"/>
      <c r="V41" s="17"/>
      <c r="W41" s="17"/>
    </row>
    <row r="42" spans="2:24" x14ac:dyDescent="0.25">
      <c r="D42">
        <v>2</v>
      </c>
      <c r="E42" s="17"/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/>
      <c r="W42" s="17"/>
    </row>
    <row r="43" spans="2:24" x14ac:dyDescent="0.25">
      <c r="D43">
        <v>3</v>
      </c>
      <c r="E43" s="17"/>
      <c r="F43" s="17"/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/>
    </row>
    <row r="44" spans="2:24" x14ac:dyDescent="0.25">
      <c r="B44" s="17"/>
      <c r="D44">
        <v>4</v>
      </c>
      <c r="E44" s="17"/>
      <c r="F44" s="17"/>
      <c r="G44" s="17"/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</row>
    <row r="45" spans="2:24" x14ac:dyDescent="0.25">
      <c r="D45">
        <v>5</v>
      </c>
      <c r="E45" s="17"/>
      <c r="F45" s="17"/>
      <c r="G45" s="17"/>
      <c r="H45" s="17"/>
      <c r="I45" s="17">
        <f>I$14/Assumptions!$I$21</f>
        <v>1272.9520334266108</v>
      </c>
      <c r="J45" s="17">
        <f>I45</f>
        <v>1272.9520334266108</v>
      </c>
      <c r="K45" s="17">
        <f t="shared" ref="K45:X46" si="10">J45</f>
        <v>1272.9520334266108</v>
      </c>
      <c r="L45" s="17">
        <f t="shared" si="10"/>
        <v>1272.9520334266108</v>
      </c>
      <c r="M45" s="17">
        <f t="shared" si="10"/>
        <v>1272.9520334266108</v>
      </c>
      <c r="N45" s="17">
        <f t="shared" si="10"/>
        <v>1272.9520334266108</v>
      </c>
      <c r="O45" s="17">
        <f t="shared" si="10"/>
        <v>1272.9520334266108</v>
      </c>
      <c r="P45" s="17">
        <f t="shared" si="10"/>
        <v>1272.9520334266108</v>
      </c>
      <c r="Q45" s="17">
        <f t="shared" si="10"/>
        <v>1272.9520334266108</v>
      </c>
      <c r="R45" s="17">
        <f t="shared" si="10"/>
        <v>1272.9520334266108</v>
      </c>
      <c r="S45" s="17">
        <f t="shared" si="10"/>
        <v>1272.9520334266108</v>
      </c>
      <c r="T45" s="17">
        <f t="shared" si="10"/>
        <v>1272.9520334266108</v>
      </c>
      <c r="U45" s="17">
        <f t="shared" si="10"/>
        <v>1272.9520334266108</v>
      </c>
      <c r="V45" s="17">
        <f t="shared" si="10"/>
        <v>1272.9520334266108</v>
      </c>
      <c r="W45" s="17">
        <f t="shared" si="10"/>
        <v>1272.9520334266108</v>
      </c>
      <c r="X45" s="17">
        <f t="shared" si="10"/>
        <v>1272.9520334266108</v>
      </c>
    </row>
    <row r="46" spans="2:24" x14ac:dyDescent="0.25">
      <c r="D46">
        <v>6</v>
      </c>
      <c r="E46" s="17"/>
      <c r="F46" s="17"/>
      <c r="G46" s="17"/>
      <c r="H46" s="17"/>
      <c r="I46" s="17"/>
      <c r="J46" s="17">
        <f>J$14/Assumptions!$I$21</f>
        <v>0</v>
      </c>
      <c r="K46" s="17">
        <f>J46</f>
        <v>0</v>
      </c>
      <c r="L46" s="17">
        <f>K46</f>
        <v>0</v>
      </c>
      <c r="M46" s="17">
        <f t="shared" si="10"/>
        <v>0</v>
      </c>
      <c r="N46" s="17">
        <f t="shared" si="10"/>
        <v>0</v>
      </c>
      <c r="O46" s="17">
        <f t="shared" si="10"/>
        <v>0</v>
      </c>
      <c r="P46" s="17">
        <f t="shared" si="10"/>
        <v>0</v>
      </c>
      <c r="Q46" s="17">
        <f t="shared" si="10"/>
        <v>0</v>
      </c>
      <c r="R46" s="17">
        <f t="shared" si="10"/>
        <v>0</v>
      </c>
      <c r="S46" s="17">
        <f t="shared" si="10"/>
        <v>0</v>
      </c>
      <c r="T46" s="17">
        <f t="shared" si="10"/>
        <v>0</v>
      </c>
      <c r="U46" s="17">
        <f t="shared" si="10"/>
        <v>0</v>
      </c>
      <c r="V46" s="17">
        <f t="shared" si="10"/>
        <v>0</v>
      </c>
      <c r="W46" s="17">
        <f t="shared" si="10"/>
        <v>0</v>
      </c>
      <c r="X46" s="17">
        <f t="shared" si="10"/>
        <v>0</v>
      </c>
    </row>
    <row r="47" spans="2:24" x14ac:dyDescent="0.25">
      <c r="D47">
        <v>7</v>
      </c>
      <c r="E47" s="17"/>
      <c r="F47" s="17"/>
      <c r="G47" s="17"/>
      <c r="H47" s="17"/>
      <c r="I47" s="17"/>
      <c r="J47" s="17"/>
      <c r="K47" s="17">
        <f>K$14/Assumptions!$I$21</f>
        <v>1272.9520334266108</v>
      </c>
      <c r="L47" s="17">
        <f>K47</f>
        <v>1272.9520334266108</v>
      </c>
      <c r="M47" s="17">
        <f t="shared" ref="M47:X47" si="11">L47</f>
        <v>1272.9520334266108</v>
      </c>
      <c r="N47" s="17">
        <f t="shared" si="11"/>
        <v>1272.9520334266108</v>
      </c>
      <c r="O47" s="17">
        <f t="shared" si="11"/>
        <v>1272.9520334266108</v>
      </c>
      <c r="P47" s="17">
        <f t="shared" si="11"/>
        <v>1272.9520334266108</v>
      </c>
      <c r="Q47" s="17">
        <f t="shared" si="11"/>
        <v>1272.9520334266108</v>
      </c>
      <c r="R47" s="17">
        <f t="shared" si="11"/>
        <v>1272.9520334266108</v>
      </c>
      <c r="S47" s="17">
        <f t="shared" si="11"/>
        <v>1272.9520334266108</v>
      </c>
      <c r="T47" s="17">
        <f t="shared" si="11"/>
        <v>1272.9520334266108</v>
      </c>
      <c r="U47" s="17">
        <f t="shared" si="11"/>
        <v>1272.9520334266108</v>
      </c>
      <c r="V47" s="17">
        <f t="shared" si="11"/>
        <v>1272.9520334266108</v>
      </c>
      <c r="W47" s="17">
        <f t="shared" si="11"/>
        <v>1272.9520334266108</v>
      </c>
      <c r="X47" s="17">
        <f t="shared" si="11"/>
        <v>1272.9520334266108</v>
      </c>
    </row>
    <row r="48" spans="2:24" x14ac:dyDescent="0.25">
      <c r="D48">
        <v>8</v>
      </c>
      <c r="E48" s="17"/>
      <c r="F48" s="17"/>
      <c r="G48" s="17"/>
      <c r="H48" s="17"/>
      <c r="I48" s="17"/>
      <c r="J48" s="17"/>
      <c r="K48" s="17"/>
      <c r="L48" s="17">
        <f>L$14/Assumptions!$I$21</f>
        <v>0</v>
      </c>
      <c r="M48" s="17">
        <f>L48</f>
        <v>0</v>
      </c>
      <c r="N48" s="17">
        <f t="shared" ref="N48:X48" si="12">M48</f>
        <v>0</v>
      </c>
      <c r="O48" s="17">
        <f t="shared" si="12"/>
        <v>0</v>
      </c>
      <c r="P48" s="17">
        <f t="shared" si="12"/>
        <v>0</v>
      </c>
      <c r="Q48" s="17">
        <f t="shared" si="12"/>
        <v>0</v>
      </c>
      <c r="R48" s="17">
        <f t="shared" si="12"/>
        <v>0</v>
      </c>
      <c r="S48" s="17">
        <f t="shared" si="12"/>
        <v>0</v>
      </c>
      <c r="T48" s="17">
        <f t="shared" si="12"/>
        <v>0</v>
      </c>
      <c r="U48" s="17">
        <f t="shared" si="12"/>
        <v>0</v>
      </c>
      <c r="V48" s="17">
        <f t="shared" si="12"/>
        <v>0</v>
      </c>
      <c r="W48" s="17">
        <f t="shared" si="12"/>
        <v>0</v>
      </c>
      <c r="X48" s="17">
        <f t="shared" si="12"/>
        <v>0</v>
      </c>
    </row>
    <row r="49" spans="3:24" x14ac:dyDescent="0.25">
      <c r="D49">
        <v>9</v>
      </c>
      <c r="E49" s="17"/>
      <c r="F49" s="17"/>
      <c r="G49" s="17"/>
      <c r="H49" s="17"/>
      <c r="I49" s="17"/>
      <c r="J49" s="17"/>
      <c r="K49" s="17"/>
      <c r="L49" s="17"/>
      <c r="M49" s="17">
        <f>M$14/Assumptions!$I$21</f>
        <v>2545.9040668532216</v>
      </c>
      <c r="N49" s="17">
        <f>M49</f>
        <v>2545.9040668532216</v>
      </c>
      <c r="O49" s="17">
        <f t="shared" ref="O49:X58" si="13">N49</f>
        <v>2545.9040668532216</v>
      </c>
      <c r="P49" s="17">
        <f t="shared" si="13"/>
        <v>2545.9040668532216</v>
      </c>
      <c r="Q49" s="17">
        <f t="shared" si="13"/>
        <v>2545.9040668532216</v>
      </c>
      <c r="R49" s="17">
        <f t="shared" si="13"/>
        <v>2545.9040668532216</v>
      </c>
      <c r="S49" s="17">
        <f t="shared" si="13"/>
        <v>2545.9040668532216</v>
      </c>
      <c r="T49" s="17">
        <f t="shared" si="13"/>
        <v>2545.9040668532216</v>
      </c>
      <c r="U49" s="17">
        <f t="shared" si="13"/>
        <v>2545.9040668532216</v>
      </c>
      <c r="V49" s="17">
        <f t="shared" si="13"/>
        <v>2545.9040668532216</v>
      </c>
      <c r="W49" s="17">
        <f t="shared" si="13"/>
        <v>2545.9040668532216</v>
      </c>
      <c r="X49" s="17">
        <f t="shared" si="13"/>
        <v>2545.9040668532216</v>
      </c>
    </row>
    <row r="50" spans="3:24" x14ac:dyDescent="0.25">
      <c r="D50">
        <v>10</v>
      </c>
      <c r="E50" s="17"/>
      <c r="F50" s="17"/>
      <c r="G50" s="17"/>
      <c r="H50" s="17"/>
      <c r="I50" s="17"/>
      <c r="J50" s="17"/>
      <c r="K50" s="17"/>
      <c r="L50" s="17"/>
      <c r="M50" s="17"/>
      <c r="N50" s="17">
        <f>N$14/Assumptions!$I$21</f>
        <v>1272.9520334266108</v>
      </c>
      <c r="O50" s="17">
        <f>N50</f>
        <v>1272.9520334266108</v>
      </c>
      <c r="P50" s="17">
        <f t="shared" si="13"/>
        <v>1272.9520334266108</v>
      </c>
      <c r="Q50" s="17">
        <f t="shared" si="13"/>
        <v>1272.9520334266108</v>
      </c>
      <c r="R50" s="17">
        <f t="shared" si="13"/>
        <v>1272.9520334266108</v>
      </c>
      <c r="S50" s="17">
        <f t="shared" si="13"/>
        <v>1272.9520334266108</v>
      </c>
      <c r="T50" s="17">
        <f t="shared" si="13"/>
        <v>1272.9520334266108</v>
      </c>
      <c r="U50" s="17">
        <f t="shared" si="13"/>
        <v>1272.9520334266108</v>
      </c>
      <c r="V50" s="17">
        <f t="shared" si="13"/>
        <v>1272.9520334266108</v>
      </c>
      <c r="W50" s="17">
        <f t="shared" si="13"/>
        <v>1272.9520334266108</v>
      </c>
      <c r="X50" s="17">
        <f t="shared" si="13"/>
        <v>1272.9520334266108</v>
      </c>
    </row>
    <row r="51" spans="3:24" x14ac:dyDescent="0.25">
      <c r="D51">
        <v>11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>
        <f>O$14/Assumptions!$I$21</f>
        <v>2545.9040668532216</v>
      </c>
      <c r="P51" s="17">
        <f>O51</f>
        <v>2545.9040668532216</v>
      </c>
      <c r="Q51" s="17">
        <f t="shared" si="13"/>
        <v>2545.9040668532216</v>
      </c>
      <c r="R51" s="17">
        <f t="shared" si="13"/>
        <v>2545.9040668532216</v>
      </c>
      <c r="S51" s="17">
        <f t="shared" si="13"/>
        <v>2545.9040668532216</v>
      </c>
      <c r="T51" s="17">
        <f t="shared" si="13"/>
        <v>2545.9040668532216</v>
      </c>
      <c r="U51" s="17">
        <f t="shared" si="13"/>
        <v>2545.9040668532216</v>
      </c>
      <c r="V51" s="17">
        <f t="shared" si="13"/>
        <v>2545.9040668532216</v>
      </c>
      <c r="W51" s="17">
        <f t="shared" si="13"/>
        <v>2545.9040668532216</v>
      </c>
      <c r="X51" s="17">
        <f t="shared" si="13"/>
        <v>2545.9040668532216</v>
      </c>
    </row>
    <row r="52" spans="3:24" x14ac:dyDescent="0.25">
      <c r="D52">
        <v>12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>
        <f>P$14/Assumptions!$I$21</f>
        <v>1272.9520334266108</v>
      </c>
      <c r="Q52" s="17">
        <f>P52</f>
        <v>1272.9520334266108</v>
      </c>
      <c r="R52" s="17">
        <f t="shared" si="13"/>
        <v>1272.9520334266108</v>
      </c>
      <c r="S52" s="17">
        <f t="shared" si="13"/>
        <v>1272.9520334266108</v>
      </c>
      <c r="T52" s="17">
        <f t="shared" si="13"/>
        <v>1272.9520334266108</v>
      </c>
      <c r="U52" s="17">
        <f t="shared" si="13"/>
        <v>1272.9520334266108</v>
      </c>
      <c r="V52" s="17">
        <f t="shared" si="13"/>
        <v>1272.9520334266108</v>
      </c>
      <c r="W52" s="17">
        <f t="shared" si="13"/>
        <v>1272.9520334266108</v>
      </c>
      <c r="X52" s="17">
        <f t="shared" si="13"/>
        <v>1272.9520334266108</v>
      </c>
    </row>
    <row r="53" spans="3:24" x14ac:dyDescent="0.25">
      <c r="D53">
        <v>13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>
        <f>Q$14/Assumptions!$I$21</f>
        <v>1272.9520334266108</v>
      </c>
      <c r="R53" s="17">
        <f>Q53</f>
        <v>1272.9520334266108</v>
      </c>
      <c r="S53" s="17">
        <f t="shared" si="13"/>
        <v>1272.9520334266108</v>
      </c>
      <c r="T53" s="17">
        <f t="shared" si="13"/>
        <v>1272.9520334266108</v>
      </c>
      <c r="U53" s="17">
        <f t="shared" si="13"/>
        <v>1272.9520334266108</v>
      </c>
      <c r="V53" s="17">
        <f t="shared" si="13"/>
        <v>1272.9520334266108</v>
      </c>
      <c r="W53" s="17">
        <f t="shared" si="13"/>
        <v>1272.9520334266108</v>
      </c>
      <c r="X53" s="17">
        <f t="shared" si="13"/>
        <v>1272.9520334266108</v>
      </c>
    </row>
    <row r="54" spans="3:24" x14ac:dyDescent="0.25">
      <c r="D54">
        <v>14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>
        <f>R$14/Assumptions!$I$21</f>
        <v>1272.9520334266108</v>
      </c>
      <c r="S54" s="17">
        <f>R54</f>
        <v>1272.9520334266108</v>
      </c>
      <c r="T54" s="17">
        <f t="shared" si="13"/>
        <v>1272.9520334266108</v>
      </c>
      <c r="U54" s="17">
        <f t="shared" si="13"/>
        <v>1272.9520334266108</v>
      </c>
      <c r="V54" s="17">
        <f t="shared" si="13"/>
        <v>1272.9520334266108</v>
      </c>
      <c r="W54" s="17">
        <f t="shared" si="13"/>
        <v>1272.9520334266108</v>
      </c>
      <c r="X54" s="17">
        <f t="shared" si="13"/>
        <v>1272.9520334266108</v>
      </c>
    </row>
    <row r="55" spans="3:24" x14ac:dyDescent="0.25">
      <c r="D55">
        <v>15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>
        <f>S$14/Assumptions!$I$21</f>
        <v>1272.9520334266108</v>
      </c>
      <c r="T55" s="17">
        <f>S55</f>
        <v>1272.9520334266108</v>
      </c>
      <c r="U55" s="17">
        <f t="shared" si="13"/>
        <v>1272.9520334266108</v>
      </c>
      <c r="V55" s="17">
        <f t="shared" si="13"/>
        <v>1272.9520334266108</v>
      </c>
      <c r="W55" s="17">
        <f t="shared" si="13"/>
        <v>1272.9520334266108</v>
      </c>
      <c r="X55" s="17">
        <f t="shared" si="13"/>
        <v>1272.9520334266108</v>
      </c>
    </row>
    <row r="56" spans="3:24" x14ac:dyDescent="0.25">
      <c r="D56">
        <v>16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>
        <f>T$14/Assumptions!$I$21</f>
        <v>1272.9520334266108</v>
      </c>
      <c r="U56" s="17">
        <f>T56</f>
        <v>1272.9520334266108</v>
      </c>
      <c r="V56" s="17">
        <f t="shared" si="13"/>
        <v>1272.9520334266108</v>
      </c>
      <c r="W56" s="17">
        <f t="shared" si="13"/>
        <v>1272.9520334266108</v>
      </c>
      <c r="X56" s="17">
        <f t="shared" si="13"/>
        <v>1272.9520334266108</v>
      </c>
    </row>
    <row r="57" spans="3:24" x14ac:dyDescent="0.25">
      <c r="D57">
        <v>17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>
        <f>U$14/Assumptions!$I$21</f>
        <v>1272.9520334266108</v>
      </c>
      <c r="V57" s="17">
        <f>U57</f>
        <v>1272.9520334266108</v>
      </c>
      <c r="W57" s="17">
        <f t="shared" si="13"/>
        <v>1272.9520334266108</v>
      </c>
      <c r="X57" s="17">
        <f t="shared" si="13"/>
        <v>1272.9520334266108</v>
      </c>
    </row>
    <row r="58" spans="3:24" x14ac:dyDescent="0.25">
      <c r="D58">
        <v>18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>
        <f>V$14/Assumptions!$I$21</f>
        <v>1272.9520334266108</v>
      </c>
      <c r="W58" s="17">
        <f>V58</f>
        <v>1272.9520334266108</v>
      </c>
      <c r="X58" s="17">
        <f t="shared" si="13"/>
        <v>1272.9520334266108</v>
      </c>
    </row>
    <row r="59" spans="3:24" x14ac:dyDescent="0.25">
      <c r="D59">
        <v>19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>
        <f>W$14/Assumptions!$I$21</f>
        <v>2545.9040668532216</v>
      </c>
      <c r="X59" s="17">
        <f>W59</f>
        <v>2545.9040668532216</v>
      </c>
    </row>
    <row r="60" spans="3:24" x14ac:dyDescent="0.25">
      <c r="D60">
        <v>20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>
        <f>X$14/Assumptions!$I$21</f>
        <v>1272.9520334266108</v>
      </c>
    </row>
    <row r="61" spans="3:24" x14ac:dyDescent="0.25"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3:24" x14ac:dyDescent="0.25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3:24" x14ac:dyDescent="0.25">
      <c r="C63" s="15" t="s">
        <v>68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3:24" x14ac:dyDescent="0.25">
      <c r="C64" s="15" t="s">
        <v>67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4" x14ac:dyDescent="0.25">
      <c r="D65">
        <v>1</v>
      </c>
      <c r="E65" s="17">
        <f>E$18*Assumptions!$F$166/Assumptions!$I$21</f>
        <v>0</v>
      </c>
      <c r="F65" s="17">
        <f>E65</f>
        <v>0</v>
      </c>
      <c r="G65" s="17">
        <f t="shared" ref="G65:T65" si="14">F65</f>
        <v>0</v>
      </c>
      <c r="H65" s="17">
        <f t="shared" si="14"/>
        <v>0</v>
      </c>
      <c r="I65" s="17">
        <f>H65</f>
        <v>0</v>
      </c>
      <c r="J65" s="17">
        <f t="shared" si="14"/>
        <v>0</v>
      </c>
      <c r="K65" s="17">
        <f t="shared" si="14"/>
        <v>0</v>
      </c>
      <c r="L65" s="17">
        <f t="shared" si="14"/>
        <v>0</v>
      </c>
      <c r="M65" s="17">
        <f t="shared" si="14"/>
        <v>0</v>
      </c>
      <c r="N65" s="17">
        <f t="shared" si="14"/>
        <v>0</v>
      </c>
      <c r="O65" s="17">
        <f t="shared" si="14"/>
        <v>0</v>
      </c>
      <c r="P65" s="17">
        <f t="shared" si="14"/>
        <v>0</v>
      </c>
      <c r="Q65" s="17">
        <f t="shared" si="14"/>
        <v>0</v>
      </c>
      <c r="R65" s="17">
        <f t="shared" si="14"/>
        <v>0</v>
      </c>
      <c r="S65" s="17">
        <f t="shared" si="14"/>
        <v>0</v>
      </c>
      <c r="T65" s="17">
        <f t="shared" si="14"/>
        <v>0</v>
      </c>
      <c r="U65" s="17"/>
      <c r="V65" s="17"/>
      <c r="W65" s="17"/>
    </row>
    <row r="66" spans="4:24" x14ac:dyDescent="0.25">
      <c r="D66">
        <v>2</v>
      </c>
      <c r="E66" s="17"/>
      <c r="F66" s="17">
        <f>F$18*Assumptions!$F$166/Assumptions!$I$21</f>
        <v>758.49935754097885</v>
      </c>
      <c r="G66" s="17">
        <f>F66</f>
        <v>758.49935754097885</v>
      </c>
      <c r="H66" s="17">
        <f t="shared" ref="H66:U66" si="15">G66</f>
        <v>758.49935754097885</v>
      </c>
      <c r="I66" s="17">
        <f t="shared" si="15"/>
        <v>758.49935754097885</v>
      </c>
      <c r="J66" s="17">
        <f t="shared" si="15"/>
        <v>758.49935754097885</v>
      </c>
      <c r="K66" s="17">
        <f t="shared" si="15"/>
        <v>758.49935754097885</v>
      </c>
      <c r="L66" s="17">
        <f t="shared" si="15"/>
        <v>758.49935754097885</v>
      </c>
      <c r="M66" s="17">
        <f t="shared" si="15"/>
        <v>758.49935754097885</v>
      </c>
      <c r="N66" s="17">
        <f t="shared" si="15"/>
        <v>758.49935754097885</v>
      </c>
      <c r="O66" s="17">
        <f t="shared" si="15"/>
        <v>758.49935754097885</v>
      </c>
      <c r="P66" s="17">
        <f t="shared" si="15"/>
        <v>758.49935754097885</v>
      </c>
      <c r="Q66" s="17">
        <f t="shared" si="15"/>
        <v>758.49935754097885</v>
      </c>
      <c r="R66" s="17">
        <f t="shared" si="15"/>
        <v>758.49935754097885</v>
      </c>
      <c r="S66" s="17">
        <f t="shared" si="15"/>
        <v>758.49935754097885</v>
      </c>
      <c r="T66" s="17">
        <f t="shared" si="15"/>
        <v>758.49935754097885</v>
      </c>
      <c r="U66" s="17">
        <f t="shared" si="15"/>
        <v>758.49935754097885</v>
      </c>
      <c r="V66" s="17"/>
      <c r="W66" s="17"/>
    </row>
    <row r="67" spans="4:24" x14ac:dyDescent="0.25">
      <c r="D67">
        <v>3</v>
      </c>
      <c r="E67" s="17"/>
      <c r="F67" s="17"/>
      <c r="G67" s="17">
        <f>G$18*Assumptions!$F$166/Assumptions!$I$21</f>
        <v>379.24967877048942</v>
      </c>
      <c r="H67" s="17">
        <f>G67</f>
        <v>379.24967877048942</v>
      </c>
      <c r="I67" s="17">
        <f t="shared" ref="I67:V67" si="16">H67</f>
        <v>379.24967877048942</v>
      </c>
      <c r="J67" s="17">
        <f t="shared" si="16"/>
        <v>379.24967877048942</v>
      </c>
      <c r="K67" s="17">
        <f t="shared" si="16"/>
        <v>379.24967877048942</v>
      </c>
      <c r="L67" s="17">
        <f t="shared" si="16"/>
        <v>379.24967877048942</v>
      </c>
      <c r="M67" s="17">
        <f t="shared" si="16"/>
        <v>379.24967877048942</v>
      </c>
      <c r="N67" s="17">
        <f t="shared" si="16"/>
        <v>379.24967877048942</v>
      </c>
      <c r="O67" s="17">
        <f t="shared" si="16"/>
        <v>379.24967877048942</v>
      </c>
      <c r="P67" s="17">
        <f t="shared" si="16"/>
        <v>379.24967877048942</v>
      </c>
      <c r="Q67" s="17">
        <f t="shared" si="16"/>
        <v>379.24967877048942</v>
      </c>
      <c r="R67" s="17">
        <f t="shared" si="16"/>
        <v>379.24967877048942</v>
      </c>
      <c r="S67" s="17">
        <f t="shared" si="16"/>
        <v>379.24967877048942</v>
      </c>
      <c r="T67" s="17">
        <f t="shared" si="16"/>
        <v>379.24967877048942</v>
      </c>
      <c r="U67" s="17">
        <f t="shared" si="16"/>
        <v>379.24967877048942</v>
      </c>
      <c r="V67" s="17">
        <f t="shared" si="16"/>
        <v>379.24967877048942</v>
      </c>
      <c r="W67" s="17"/>
    </row>
    <row r="68" spans="4:24" x14ac:dyDescent="0.25">
      <c r="D68">
        <v>4</v>
      </c>
      <c r="E68" s="17"/>
      <c r="F68" s="17"/>
      <c r="G68" s="17"/>
      <c r="H68" s="17">
        <f>H$18*Assumptions!$F$166/Assumptions!$I$21</f>
        <v>379.24967877048942</v>
      </c>
      <c r="I68" s="17">
        <f>H68</f>
        <v>379.24967877048942</v>
      </c>
      <c r="J68" s="17">
        <f t="shared" ref="J68:W68" si="17">I68</f>
        <v>379.24967877048942</v>
      </c>
      <c r="K68" s="17">
        <f t="shared" si="17"/>
        <v>379.24967877048942</v>
      </c>
      <c r="L68" s="17">
        <f t="shared" si="17"/>
        <v>379.24967877048942</v>
      </c>
      <c r="M68" s="17">
        <f t="shared" si="17"/>
        <v>379.24967877048942</v>
      </c>
      <c r="N68" s="17">
        <f t="shared" si="17"/>
        <v>379.24967877048942</v>
      </c>
      <c r="O68" s="17">
        <f t="shared" si="17"/>
        <v>379.24967877048942</v>
      </c>
      <c r="P68" s="17">
        <f t="shared" si="17"/>
        <v>379.24967877048942</v>
      </c>
      <c r="Q68" s="17">
        <f t="shared" si="17"/>
        <v>379.24967877048942</v>
      </c>
      <c r="R68" s="17">
        <f t="shared" si="17"/>
        <v>379.24967877048942</v>
      </c>
      <c r="S68" s="17">
        <f t="shared" si="17"/>
        <v>379.24967877048942</v>
      </c>
      <c r="T68" s="17">
        <f t="shared" si="17"/>
        <v>379.24967877048942</v>
      </c>
      <c r="U68" s="17">
        <f t="shared" si="17"/>
        <v>379.24967877048942</v>
      </c>
      <c r="V68" s="17">
        <f t="shared" si="17"/>
        <v>379.24967877048942</v>
      </c>
      <c r="W68" s="17">
        <f t="shared" si="17"/>
        <v>379.24967877048942</v>
      </c>
    </row>
    <row r="69" spans="4:24" x14ac:dyDescent="0.25">
      <c r="D69">
        <v>5</v>
      </c>
      <c r="E69" s="17"/>
      <c r="F69" s="17"/>
      <c r="G69" s="17"/>
      <c r="H69" s="17"/>
      <c r="I69" s="17">
        <f>I$18*Assumptions!$F$166/Assumptions!$I$21</f>
        <v>758.49935754097885</v>
      </c>
      <c r="J69" s="17">
        <f>I69</f>
        <v>758.49935754097885</v>
      </c>
      <c r="K69" s="17">
        <f t="shared" ref="K69:X70" si="18">J69</f>
        <v>758.49935754097885</v>
      </c>
      <c r="L69" s="17">
        <f t="shared" si="18"/>
        <v>758.49935754097885</v>
      </c>
      <c r="M69" s="17">
        <f t="shared" si="18"/>
        <v>758.49935754097885</v>
      </c>
      <c r="N69" s="17">
        <f t="shared" si="18"/>
        <v>758.49935754097885</v>
      </c>
      <c r="O69" s="17">
        <f t="shared" si="18"/>
        <v>758.49935754097885</v>
      </c>
      <c r="P69" s="17">
        <f t="shared" si="18"/>
        <v>758.49935754097885</v>
      </c>
      <c r="Q69" s="17">
        <f t="shared" si="18"/>
        <v>758.49935754097885</v>
      </c>
      <c r="R69" s="17">
        <f t="shared" si="18"/>
        <v>758.49935754097885</v>
      </c>
      <c r="S69" s="17">
        <f t="shared" si="18"/>
        <v>758.49935754097885</v>
      </c>
      <c r="T69" s="17">
        <f t="shared" si="18"/>
        <v>758.49935754097885</v>
      </c>
      <c r="U69" s="17">
        <f t="shared" si="18"/>
        <v>758.49935754097885</v>
      </c>
      <c r="V69" s="17">
        <f t="shared" si="18"/>
        <v>758.49935754097885</v>
      </c>
      <c r="W69" s="17">
        <f t="shared" si="18"/>
        <v>758.49935754097885</v>
      </c>
      <c r="X69" s="17">
        <f t="shared" si="18"/>
        <v>758.49935754097885</v>
      </c>
    </row>
    <row r="70" spans="4:24" x14ac:dyDescent="0.25">
      <c r="D70">
        <v>6</v>
      </c>
      <c r="E70" s="17"/>
      <c r="F70" s="17"/>
      <c r="G70" s="17"/>
      <c r="H70" s="17"/>
      <c r="I70" s="17"/>
      <c r="J70" s="17">
        <f>J$18*Assumptions!$F$166/Assumptions!$I$21</f>
        <v>758.49935754097885</v>
      </c>
      <c r="K70" s="17">
        <f>J70</f>
        <v>758.49935754097885</v>
      </c>
      <c r="L70" s="17">
        <f t="shared" si="18"/>
        <v>758.49935754097885</v>
      </c>
      <c r="M70" s="17">
        <f t="shared" si="18"/>
        <v>758.49935754097885</v>
      </c>
      <c r="N70" s="17">
        <f t="shared" si="18"/>
        <v>758.49935754097885</v>
      </c>
      <c r="O70" s="17">
        <f t="shared" si="18"/>
        <v>758.49935754097885</v>
      </c>
      <c r="P70" s="17">
        <f t="shared" si="18"/>
        <v>758.49935754097885</v>
      </c>
      <c r="Q70" s="17">
        <f t="shared" si="18"/>
        <v>758.49935754097885</v>
      </c>
      <c r="R70" s="17">
        <f t="shared" si="18"/>
        <v>758.49935754097885</v>
      </c>
      <c r="S70" s="17">
        <f t="shared" si="18"/>
        <v>758.49935754097885</v>
      </c>
      <c r="T70" s="17">
        <f t="shared" si="18"/>
        <v>758.49935754097885</v>
      </c>
      <c r="U70" s="17">
        <f t="shared" si="18"/>
        <v>758.49935754097885</v>
      </c>
      <c r="V70" s="17">
        <f t="shared" si="18"/>
        <v>758.49935754097885</v>
      </c>
      <c r="W70" s="17">
        <f t="shared" si="18"/>
        <v>758.49935754097885</v>
      </c>
      <c r="X70" s="17">
        <f t="shared" si="18"/>
        <v>758.49935754097885</v>
      </c>
    </row>
    <row r="71" spans="4:24" x14ac:dyDescent="0.25">
      <c r="D71">
        <v>7</v>
      </c>
      <c r="E71" s="17"/>
      <c r="F71" s="17"/>
      <c r="G71" s="17"/>
      <c r="H71" s="17"/>
      <c r="I71" s="17"/>
      <c r="J71" s="17"/>
      <c r="K71" s="17">
        <f>K$18*Assumptions!$F$166/Assumptions!$I$21</f>
        <v>758.49935754097885</v>
      </c>
      <c r="L71" s="17">
        <f>K71</f>
        <v>758.49935754097885</v>
      </c>
      <c r="M71" s="17">
        <f t="shared" ref="M71:X71" si="19">L71</f>
        <v>758.49935754097885</v>
      </c>
      <c r="N71" s="17">
        <f t="shared" si="19"/>
        <v>758.49935754097885</v>
      </c>
      <c r="O71" s="17">
        <f t="shared" si="19"/>
        <v>758.49935754097885</v>
      </c>
      <c r="P71" s="17">
        <f t="shared" si="19"/>
        <v>758.49935754097885</v>
      </c>
      <c r="Q71" s="17">
        <f t="shared" si="19"/>
        <v>758.49935754097885</v>
      </c>
      <c r="R71" s="17">
        <f t="shared" si="19"/>
        <v>758.49935754097885</v>
      </c>
      <c r="S71" s="17">
        <f t="shared" si="19"/>
        <v>758.49935754097885</v>
      </c>
      <c r="T71" s="17">
        <f t="shared" si="19"/>
        <v>758.49935754097885</v>
      </c>
      <c r="U71" s="17">
        <f t="shared" si="19"/>
        <v>758.49935754097885</v>
      </c>
      <c r="V71" s="17">
        <f t="shared" si="19"/>
        <v>758.49935754097885</v>
      </c>
      <c r="W71" s="17">
        <f t="shared" si="19"/>
        <v>758.49935754097885</v>
      </c>
      <c r="X71" s="17">
        <f t="shared" si="19"/>
        <v>758.49935754097885</v>
      </c>
    </row>
    <row r="72" spans="4:24" x14ac:dyDescent="0.25">
      <c r="D72">
        <v>8</v>
      </c>
      <c r="E72" s="17"/>
      <c r="F72" s="17"/>
      <c r="G72" s="17"/>
      <c r="H72" s="17"/>
      <c r="I72" s="17"/>
      <c r="J72" s="17"/>
      <c r="K72" s="17"/>
      <c r="L72" s="17">
        <f>L$18*Assumptions!$F$166/Assumptions!$I$21</f>
        <v>758.49935754097885</v>
      </c>
      <c r="M72" s="17">
        <f>L72</f>
        <v>758.49935754097885</v>
      </c>
      <c r="N72" s="17">
        <f t="shared" ref="N72:X72" si="20">M72</f>
        <v>758.49935754097885</v>
      </c>
      <c r="O72" s="17">
        <f t="shared" si="20"/>
        <v>758.49935754097885</v>
      </c>
      <c r="P72" s="17">
        <f t="shared" si="20"/>
        <v>758.49935754097885</v>
      </c>
      <c r="Q72" s="17">
        <f t="shared" si="20"/>
        <v>758.49935754097885</v>
      </c>
      <c r="R72" s="17">
        <f t="shared" si="20"/>
        <v>758.49935754097885</v>
      </c>
      <c r="S72" s="17">
        <f t="shared" si="20"/>
        <v>758.49935754097885</v>
      </c>
      <c r="T72" s="17">
        <f t="shared" si="20"/>
        <v>758.49935754097885</v>
      </c>
      <c r="U72" s="17">
        <f t="shared" si="20"/>
        <v>758.49935754097885</v>
      </c>
      <c r="V72" s="17">
        <f t="shared" si="20"/>
        <v>758.49935754097885</v>
      </c>
      <c r="W72" s="17">
        <f t="shared" si="20"/>
        <v>758.49935754097885</v>
      </c>
      <c r="X72" s="17">
        <f t="shared" si="20"/>
        <v>758.49935754097885</v>
      </c>
    </row>
    <row r="73" spans="4:24" x14ac:dyDescent="0.25">
      <c r="D73">
        <v>9</v>
      </c>
      <c r="E73" s="17"/>
      <c r="F73" s="17"/>
      <c r="G73" s="17"/>
      <c r="H73" s="17"/>
      <c r="I73" s="17"/>
      <c r="J73" s="17"/>
      <c r="K73" s="17"/>
      <c r="L73" s="17"/>
      <c r="M73" s="17">
        <f>M$18*Assumptions!$F$166/Assumptions!$I$21</f>
        <v>2275.4980726229364</v>
      </c>
      <c r="N73" s="17">
        <f>M73</f>
        <v>2275.4980726229364</v>
      </c>
      <c r="O73" s="17">
        <f t="shared" ref="O73:X73" si="21">N73</f>
        <v>2275.4980726229364</v>
      </c>
      <c r="P73" s="17">
        <f t="shared" si="21"/>
        <v>2275.4980726229364</v>
      </c>
      <c r="Q73" s="17">
        <f t="shared" si="21"/>
        <v>2275.4980726229364</v>
      </c>
      <c r="R73" s="17">
        <f t="shared" si="21"/>
        <v>2275.4980726229364</v>
      </c>
      <c r="S73" s="17">
        <f t="shared" si="21"/>
        <v>2275.4980726229364</v>
      </c>
      <c r="T73" s="17">
        <f t="shared" si="21"/>
        <v>2275.4980726229364</v>
      </c>
      <c r="U73" s="17">
        <f t="shared" si="21"/>
        <v>2275.4980726229364</v>
      </c>
      <c r="V73" s="17">
        <f t="shared" si="21"/>
        <v>2275.4980726229364</v>
      </c>
      <c r="W73" s="17">
        <f t="shared" si="21"/>
        <v>2275.4980726229364</v>
      </c>
      <c r="X73" s="17">
        <f t="shared" si="21"/>
        <v>2275.4980726229364</v>
      </c>
    </row>
    <row r="74" spans="4:24" x14ac:dyDescent="0.25">
      <c r="D74">
        <v>10</v>
      </c>
      <c r="E74" s="17"/>
      <c r="F74" s="17"/>
      <c r="G74" s="17"/>
      <c r="H74" s="17"/>
      <c r="I74" s="17"/>
      <c r="J74" s="17"/>
      <c r="K74" s="17"/>
      <c r="L74" s="17"/>
      <c r="M74" s="17"/>
      <c r="N74" s="17">
        <f>N$18*Assumptions!$F$166/Assumptions!$I$21</f>
        <v>2275.4980726229364</v>
      </c>
      <c r="O74" s="17">
        <f>N74</f>
        <v>2275.4980726229364</v>
      </c>
      <c r="P74" s="17">
        <f t="shared" ref="P74:X74" si="22">O74</f>
        <v>2275.4980726229364</v>
      </c>
      <c r="Q74" s="17">
        <f t="shared" si="22"/>
        <v>2275.4980726229364</v>
      </c>
      <c r="R74" s="17">
        <f t="shared" si="22"/>
        <v>2275.4980726229364</v>
      </c>
      <c r="S74" s="17">
        <f t="shared" si="22"/>
        <v>2275.4980726229364</v>
      </c>
      <c r="T74" s="17">
        <f t="shared" si="22"/>
        <v>2275.4980726229364</v>
      </c>
      <c r="U74" s="17">
        <f t="shared" si="22"/>
        <v>2275.4980726229364</v>
      </c>
      <c r="V74" s="17">
        <f t="shared" si="22"/>
        <v>2275.4980726229364</v>
      </c>
      <c r="W74" s="17">
        <f t="shared" si="22"/>
        <v>2275.4980726229364</v>
      </c>
      <c r="X74" s="17">
        <f t="shared" si="22"/>
        <v>2275.4980726229364</v>
      </c>
    </row>
    <row r="75" spans="4:24" x14ac:dyDescent="0.25">
      <c r="D75">
        <v>11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>
        <f>O$18*Assumptions!$F$166/Assumptions!$I$21</f>
        <v>2275.4980726229364</v>
      </c>
      <c r="P75" s="17">
        <f>O75</f>
        <v>2275.4980726229364</v>
      </c>
      <c r="Q75" s="17">
        <f t="shared" ref="Q75:X75" si="23">P75</f>
        <v>2275.4980726229364</v>
      </c>
      <c r="R75" s="17">
        <f t="shared" si="23"/>
        <v>2275.4980726229364</v>
      </c>
      <c r="S75" s="17">
        <f t="shared" si="23"/>
        <v>2275.4980726229364</v>
      </c>
      <c r="T75" s="17">
        <f t="shared" si="23"/>
        <v>2275.4980726229364</v>
      </c>
      <c r="U75" s="17">
        <f t="shared" si="23"/>
        <v>2275.4980726229364</v>
      </c>
      <c r="V75" s="17">
        <f t="shared" si="23"/>
        <v>2275.4980726229364</v>
      </c>
      <c r="W75" s="17">
        <f t="shared" si="23"/>
        <v>2275.4980726229364</v>
      </c>
      <c r="X75" s="17">
        <f t="shared" si="23"/>
        <v>2275.4980726229364</v>
      </c>
    </row>
    <row r="76" spans="4:24" x14ac:dyDescent="0.25">
      <c r="D76">
        <v>12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>
        <f>P$18*Assumptions!$F$166/Assumptions!$I$21</f>
        <v>2275.4980726229364</v>
      </c>
      <c r="Q76" s="17">
        <f>P76</f>
        <v>2275.4980726229364</v>
      </c>
      <c r="R76" s="17">
        <f t="shared" ref="R76:X76" si="24">Q76</f>
        <v>2275.4980726229364</v>
      </c>
      <c r="S76" s="17">
        <f t="shared" si="24"/>
        <v>2275.4980726229364</v>
      </c>
      <c r="T76" s="17">
        <f t="shared" si="24"/>
        <v>2275.4980726229364</v>
      </c>
      <c r="U76" s="17">
        <f t="shared" si="24"/>
        <v>2275.4980726229364</v>
      </c>
      <c r="V76" s="17">
        <f t="shared" si="24"/>
        <v>2275.4980726229364</v>
      </c>
      <c r="W76" s="17">
        <f t="shared" si="24"/>
        <v>2275.4980726229364</v>
      </c>
      <c r="X76" s="17">
        <f t="shared" si="24"/>
        <v>2275.4980726229364</v>
      </c>
    </row>
    <row r="77" spans="4:24" x14ac:dyDescent="0.25">
      <c r="D77">
        <v>13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>
        <f>Q$18*Assumptions!$F$166/Assumptions!$I$21</f>
        <v>1327.373875696713</v>
      </c>
      <c r="R77" s="17">
        <f>Q77</f>
        <v>1327.373875696713</v>
      </c>
      <c r="S77" s="17">
        <f t="shared" ref="S77:X77" si="25">R77</f>
        <v>1327.373875696713</v>
      </c>
      <c r="T77" s="17">
        <f t="shared" si="25"/>
        <v>1327.373875696713</v>
      </c>
      <c r="U77" s="17">
        <f t="shared" si="25"/>
        <v>1327.373875696713</v>
      </c>
      <c r="V77" s="17">
        <f t="shared" si="25"/>
        <v>1327.373875696713</v>
      </c>
      <c r="W77" s="17">
        <f t="shared" si="25"/>
        <v>1327.373875696713</v>
      </c>
      <c r="X77" s="17">
        <f t="shared" si="25"/>
        <v>1327.373875696713</v>
      </c>
    </row>
    <row r="78" spans="4:24" x14ac:dyDescent="0.25">
      <c r="D78">
        <v>14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>
        <f>R$18*Assumptions!$F$166/Assumptions!$I$21</f>
        <v>1327.373875696713</v>
      </c>
      <c r="S78" s="17">
        <f t="shared" ref="S78:X78" si="26">R78</f>
        <v>1327.373875696713</v>
      </c>
      <c r="T78" s="17">
        <f t="shared" si="26"/>
        <v>1327.373875696713</v>
      </c>
      <c r="U78" s="17">
        <f t="shared" si="26"/>
        <v>1327.373875696713</v>
      </c>
      <c r="V78" s="17">
        <f t="shared" si="26"/>
        <v>1327.373875696713</v>
      </c>
      <c r="W78" s="17">
        <f t="shared" si="26"/>
        <v>1327.373875696713</v>
      </c>
      <c r="X78" s="17">
        <f t="shared" si="26"/>
        <v>1327.373875696713</v>
      </c>
    </row>
    <row r="79" spans="4:24" x14ac:dyDescent="0.25">
      <c r="D79">
        <v>15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>
        <f>S$18*Assumptions!$F$166/Assumptions!$I$21</f>
        <v>1327.373875696713</v>
      </c>
      <c r="T79" s="17">
        <f>S79</f>
        <v>1327.373875696713</v>
      </c>
      <c r="U79" s="17">
        <f>T79</f>
        <v>1327.373875696713</v>
      </c>
      <c r="V79" s="17">
        <f>U79</f>
        <v>1327.373875696713</v>
      </c>
      <c r="W79" s="17">
        <f>V79</f>
        <v>1327.373875696713</v>
      </c>
      <c r="X79" s="17">
        <f>W79</f>
        <v>1327.373875696713</v>
      </c>
    </row>
    <row r="80" spans="4:24" x14ac:dyDescent="0.25">
      <c r="D80">
        <v>16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>
        <f>T$18*Assumptions!$F$166/Assumptions!$I$21</f>
        <v>1327.373875696713</v>
      </c>
      <c r="U80" s="17">
        <f>T80</f>
        <v>1327.373875696713</v>
      </c>
      <c r="V80" s="17">
        <f>U80</f>
        <v>1327.373875696713</v>
      </c>
      <c r="W80" s="17">
        <f>V80</f>
        <v>1327.373875696713</v>
      </c>
      <c r="X80" s="17">
        <f>W80</f>
        <v>1327.373875696713</v>
      </c>
    </row>
    <row r="81" spans="4:24" x14ac:dyDescent="0.25">
      <c r="D81">
        <v>17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>
        <f>U$18*Assumptions!$F$166/Assumptions!$I$21</f>
        <v>1896.2483938524472</v>
      </c>
      <c r="V81" s="17">
        <f>U81</f>
        <v>1896.2483938524472</v>
      </c>
      <c r="W81" s="17">
        <f>V81</f>
        <v>1896.2483938524472</v>
      </c>
      <c r="X81" s="17">
        <f>W81</f>
        <v>1896.2483938524472</v>
      </c>
    </row>
    <row r="82" spans="4:24" x14ac:dyDescent="0.25">
      <c r="D82">
        <v>18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>
        <f>V$18*Assumptions!$F$166/Assumptions!$I$21</f>
        <v>1896.2483938524472</v>
      </c>
      <c r="W82" s="17">
        <f>V82</f>
        <v>1896.2483938524472</v>
      </c>
      <c r="X82" s="17">
        <f>W82</f>
        <v>1896.2483938524472</v>
      </c>
    </row>
    <row r="83" spans="4:24" x14ac:dyDescent="0.25">
      <c r="D83">
        <v>19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>
        <f>W$18*Assumptions!$F$166/Assumptions!$I$21</f>
        <v>1896.2483938524472</v>
      </c>
      <c r="X83" s="17">
        <f>W83</f>
        <v>1896.2483938524472</v>
      </c>
    </row>
    <row r="84" spans="4:24" x14ac:dyDescent="0.25">
      <c r="D84">
        <v>20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>
        <f>X$14/Assumptions!$I$21</f>
        <v>1272.9520334266108</v>
      </c>
    </row>
    <row r="85" spans="4:24" x14ac:dyDescent="0.25"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4" x14ac:dyDescent="0.25"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4" x14ac:dyDescent="0.25"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4" x14ac:dyDescent="0.25"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4" x14ac:dyDescent="0.25"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4" x14ac:dyDescent="0.25"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4" x14ac:dyDescent="0.25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4" x14ac:dyDescent="0.25"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4" x14ac:dyDescent="0.25"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4" x14ac:dyDescent="0.25"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4" x14ac:dyDescent="0.25"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4" x14ac:dyDescent="0.25"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5:23" x14ac:dyDescent="0.25"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5:23" x14ac:dyDescent="0.25"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5:23" x14ac:dyDescent="0.25"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5:23" x14ac:dyDescent="0.25"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5:23" x14ac:dyDescent="0.25"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5:23" x14ac:dyDescent="0.25"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5:23" x14ac:dyDescent="0.25"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5:23" x14ac:dyDescent="0.25"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5:23" x14ac:dyDescent="0.25"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5:23" x14ac:dyDescent="0.25"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5:23" x14ac:dyDescent="0.25"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5:23" x14ac:dyDescent="0.25"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5:23" x14ac:dyDescent="0.25"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5:23" x14ac:dyDescent="0.25"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5:23" x14ac:dyDescent="0.25"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5:23" x14ac:dyDescent="0.25"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</sheetData>
  <mergeCells count="5">
    <mergeCell ref="U2:X2"/>
    <mergeCell ref="E2:H2"/>
    <mergeCell ref="I2:L2"/>
    <mergeCell ref="M2:P2"/>
    <mergeCell ref="Q2:T2"/>
  </mergeCells>
  <phoneticPr fontId="10" type="noConversion"/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11"/>
  <sheetViews>
    <sheetView topLeftCell="A5" zoomScale="75" zoomScaleNormal="75" zoomScalePageLayoutView="75" workbookViewId="0">
      <pane xSplit="4" topLeftCell="E1" activePane="topRight" state="frozenSplit"/>
      <selection activeCell="A23" sqref="A23:IV29"/>
      <selection pane="topRight" activeCell="E40" sqref="E40"/>
    </sheetView>
  </sheetViews>
  <sheetFormatPr defaultColWidth="8.77734375" defaultRowHeight="13.2" x14ac:dyDescent="0.25"/>
  <cols>
    <col min="3" max="3" width="21.6640625" customWidth="1"/>
    <col min="4" max="4" width="9.109375" customWidth="1"/>
    <col min="8" max="10" width="10.33203125" customWidth="1"/>
    <col min="12" max="12" width="10.33203125" customWidth="1"/>
    <col min="24" max="24" width="9.109375" style="17" customWidth="1"/>
  </cols>
  <sheetData>
    <row r="1" spans="1:24" x14ac:dyDescent="0.25">
      <c r="A1" s="15" t="s">
        <v>56</v>
      </c>
    </row>
    <row r="2" spans="1:24" x14ac:dyDescent="0.25">
      <c r="E2" s="221" t="s">
        <v>203</v>
      </c>
      <c r="F2" s="220"/>
      <c r="G2" s="220"/>
      <c r="H2" s="220"/>
      <c r="I2" s="221" t="s">
        <v>204</v>
      </c>
      <c r="J2" s="220"/>
      <c r="K2" s="220"/>
      <c r="L2" s="220"/>
      <c r="M2" s="221" t="s">
        <v>205</v>
      </c>
      <c r="N2" s="220"/>
      <c r="O2" s="220"/>
      <c r="P2" s="220"/>
      <c r="Q2" s="221" t="s">
        <v>206</v>
      </c>
      <c r="R2" s="220"/>
      <c r="S2" s="220"/>
      <c r="T2" s="220"/>
      <c r="U2" s="221" t="s">
        <v>207</v>
      </c>
      <c r="V2" s="220"/>
      <c r="W2" s="220"/>
      <c r="X2" s="220"/>
    </row>
    <row r="3" spans="1:24" x14ac:dyDescent="0.25">
      <c r="D3" s="15"/>
      <c r="E3" s="186">
        <v>1</v>
      </c>
      <c r="F3" s="186">
        <v>2</v>
      </c>
      <c r="G3" s="186">
        <v>3</v>
      </c>
      <c r="H3" s="186">
        <v>4</v>
      </c>
      <c r="I3">
        <v>1</v>
      </c>
      <c r="J3">
        <v>2</v>
      </c>
      <c r="K3">
        <v>3</v>
      </c>
      <c r="L3">
        <v>4</v>
      </c>
      <c r="M3">
        <v>1</v>
      </c>
      <c r="N3">
        <v>2</v>
      </c>
      <c r="O3">
        <v>3</v>
      </c>
      <c r="P3">
        <v>4</v>
      </c>
      <c r="Q3">
        <v>1</v>
      </c>
      <c r="R3">
        <v>2</v>
      </c>
      <c r="S3">
        <v>3</v>
      </c>
      <c r="T3">
        <v>4</v>
      </c>
      <c r="U3">
        <v>1</v>
      </c>
      <c r="V3">
        <v>2</v>
      </c>
      <c r="W3">
        <v>3</v>
      </c>
      <c r="X3" s="17">
        <v>4</v>
      </c>
    </row>
    <row r="4" spans="1:24" x14ac:dyDescent="0.25">
      <c r="B4" s="15" t="s">
        <v>64</v>
      </c>
      <c r="D4" s="15"/>
      <c r="E4" s="186">
        <v>1</v>
      </c>
      <c r="F4" s="186">
        <v>2</v>
      </c>
      <c r="G4" s="186">
        <v>3</v>
      </c>
      <c r="H4" s="186">
        <v>4</v>
      </c>
      <c r="I4">
        <v>5</v>
      </c>
      <c r="J4">
        <v>6</v>
      </c>
      <c r="K4">
        <v>7</v>
      </c>
      <c r="L4">
        <v>8</v>
      </c>
      <c r="M4">
        <v>9</v>
      </c>
      <c r="N4">
        <v>10</v>
      </c>
      <c r="O4">
        <v>11</v>
      </c>
      <c r="P4">
        <v>12</v>
      </c>
      <c r="Q4">
        <v>13</v>
      </c>
      <c r="R4">
        <v>14</v>
      </c>
      <c r="S4">
        <v>15</v>
      </c>
      <c r="T4">
        <v>16</v>
      </c>
      <c r="U4">
        <v>17</v>
      </c>
      <c r="V4">
        <v>18</v>
      </c>
      <c r="W4">
        <v>19</v>
      </c>
      <c r="X4" s="17">
        <v>20</v>
      </c>
    </row>
    <row r="5" spans="1:24" x14ac:dyDescent="0.25">
      <c r="B5" s="15" t="s">
        <v>58</v>
      </c>
      <c r="E5" s="187">
        <f>VLOOKUP(E4,Assumptions!$K$93:$M$118,3,TRUE)</f>
        <v>66</v>
      </c>
      <c r="F5" s="187">
        <f>VLOOKUP(F4,Assumptions!$K$93:$M$118,3,TRUE)</f>
        <v>132</v>
      </c>
      <c r="G5" s="187">
        <f>VLOOKUP(G4,Assumptions!$K$93:$M$118,3,TRUE)</f>
        <v>132</v>
      </c>
      <c r="H5" s="187">
        <f>VLOOKUP(H4,Assumptions!$K$93:$M$118,3,TRUE)</f>
        <v>132</v>
      </c>
      <c r="I5" s="14">
        <f>VLOOKUP(I4,Assumptions!$K$93:$M$118,3,TRUE)</f>
        <v>165</v>
      </c>
      <c r="J5" s="14">
        <f>VLOOKUP(J4,Assumptions!$K$93:$M$118,3,TRUE)</f>
        <v>198</v>
      </c>
      <c r="K5" s="14">
        <f>VLOOKUP(K4,Assumptions!$K$93:$M$118,3,TRUE)</f>
        <v>231</v>
      </c>
      <c r="L5" s="14">
        <f>VLOOKUP(L4,Assumptions!$K$93:$M$118,3,TRUE)</f>
        <v>264</v>
      </c>
      <c r="M5" s="14">
        <f>VLOOKUP(M4,Assumptions!$K$93:$M$118,3,TRUE)</f>
        <v>318</v>
      </c>
      <c r="N5" s="14">
        <f>VLOOKUP(N4,Assumptions!$K$93:$M$118,3,TRUE)</f>
        <v>372</v>
      </c>
      <c r="O5" s="14">
        <f>VLOOKUP(O4,Assumptions!$K$93:$M$118,3,TRUE)</f>
        <v>426</v>
      </c>
      <c r="P5" s="14">
        <f>VLOOKUP(P4,Assumptions!$K$93:$M$118,3,TRUE)</f>
        <v>480</v>
      </c>
      <c r="Q5" s="14">
        <f>VLOOKUP(Q4,Assumptions!$K$93:$M$118,3,TRUE)</f>
        <v>600</v>
      </c>
      <c r="R5" s="14">
        <f>VLOOKUP(R4,Assumptions!$K$93:$M$118,3,TRUE)</f>
        <v>720</v>
      </c>
      <c r="S5" s="14">
        <f>VLOOKUP(S4,Assumptions!$K$93:$M$118,3,TRUE)</f>
        <v>840</v>
      </c>
      <c r="T5" s="14">
        <f>VLOOKUP(T4,Assumptions!$K$93:$M$118,3,TRUE)</f>
        <v>960</v>
      </c>
      <c r="U5" s="14">
        <f>VLOOKUP(U4,Assumptions!$K$93:$M$118,3,TRUE)</f>
        <v>1200</v>
      </c>
      <c r="V5" s="14">
        <f>VLOOKUP(V4,Assumptions!$K$93:$M$118,3,TRUE)</f>
        <v>1440</v>
      </c>
      <c r="W5" s="14">
        <f>VLOOKUP(W4,Assumptions!$K$93:$M$118,3,TRUE)</f>
        <v>1680</v>
      </c>
      <c r="X5" s="14">
        <f>VLOOKUP(X4,Assumptions!$K$93:$M$118,3,TRUE)</f>
        <v>1920</v>
      </c>
    </row>
    <row r="6" spans="1:24" x14ac:dyDescent="0.25">
      <c r="E6" s="186"/>
      <c r="F6" s="186"/>
      <c r="G6" s="186"/>
      <c r="H6" s="186"/>
    </row>
    <row r="7" spans="1:24" s="4" customFormat="1" x14ac:dyDescent="0.25">
      <c r="B7" s="18" t="s">
        <v>63</v>
      </c>
      <c r="D7" s="19">
        <f>Assumptions!E89</f>
        <v>79.916666666666671</v>
      </c>
      <c r="E7" s="188">
        <f>3*(E5/2)*$D$7</f>
        <v>7911.7500000000009</v>
      </c>
      <c r="F7" s="188">
        <f>$D$7*3*(E5+(E5/2))</f>
        <v>23735.25</v>
      </c>
      <c r="G7" s="188">
        <f>$D$7*3*(6*(G5-F5)/3+F5)</f>
        <v>31647</v>
      </c>
      <c r="H7" s="188">
        <f>$D$7*3*(6*(H5-G5)/3+G5)</f>
        <v>31647</v>
      </c>
      <c r="I7" s="4">
        <f>$D$7*3*(6*(I5-H5)/3+H5)</f>
        <v>47470.5</v>
      </c>
      <c r="J7" s="4">
        <f t="shared" ref="J7:X7" si="0">$D$7*3*(6*(J5-I5)/3+I5)</f>
        <v>55382.25</v>
      </c>
      <c r="K7" s="4">
        <f t="shared" si="0"/>
        <v>63294</v>
      </c>
      <c r="L7" s="4">
        <f t="shared" si="0"/>
        <v>71205.75</v>
      </c>
      <c r="M7" s="4">
        <f t="shared" si="0"/>
        <v>89187</v>
      </c>
      <c r="N7" s="4">
        <f t="shared" si="0"/>
        <v>102133.5</v>
      </c>
      <c r="O7" s="4">
        <f t="shared" si="0"/>
        <v>115080</v>
      </c>
      <c r="P7" s="4">
        <f t="shared" si="0"/>
        <v>128026.5</v>
      </c>
      <c r="Q7" s="4">
        <f t="shared" si="0"/>
        <v>172620</v>
      </c>
      <c r="R7" s="4">
        <f t="shared" si="0"/>
        <v>201390</v>
      </c>
      <c r="S7" s="4">
        <f t="shared" si="0"/>
        <v>230160</v>
      </c>
      <c r="T7" s="4">
        <f t="shared" si="0"/>
        <v>258930</v>
      </c>
      <c r="U7" s="4">
        <f t="shared" si="0"/>
        <v>345240</v>
      </c>
      <c r="V7" s="4">
        <f t="shared" si="0"/>
        <v>402780</v>
      </c>
      <c r="W7" s="4">
        <f t="shared" si="0"/>
        <v>460320</v>
      </c>
      <c r="X7" s="4">
        <f t="shared" si="0"/>
        <v>517860</v>
      </c>
    </row>
    <row r="8" spans="1:24" x14ac:dyDescent="0.25">
      <c r="H8" s="16"/>
      <c r="L8" s="16">
        <f>D7*78*(L5-H5)/12</f>
        <v>68568.5</v>
      </c>
    </row>
    <row r="9" spans="1:24" x14ac:dyDescent="0.25">
      <c r="D9">
        <f>132*D7*3</f>
        <v>31647</v>
      </c>
    </row>
    <row r="10" spans="1:24" x14ac:dyDescent="0.25">
      <c r="B10" s="15" t="s">
        <v>59</v>
      </c>
    </row>
    <row r="12" spans="1:24" x14ac:dyDescent="0.25">
      <c r="C12" s="27" t="s">
        <v>187</v>
      </c>
      <c r="D12" s="15"/>
      <c r="E12" s="17">
        <f>VLOOKUP(E4,ML,11,TRUE)</f>
        <v>1</v>
      </c>
      <c r="F12" s="17">
        <f t="shared" ref="F12:X12" si="1">VLOOKUP(F4,ML,11,TRUE)</f>
        <v>1</v>
      </c>
      <c r="G12" s="17">
        <f t="shared" si="1"/>
        <v>1</v>
      </c>
      <c r="H12" s="17">
        <f t="shared" si="1"/>
        <v>2</v>
      </c>
      <c r="I12" s="17">
        <f t="shared" si="1"/>
        <v>2</v>
      </c>
      <c r="J12" s="17">
        <f t="shared" si="1"/>
        <v>2</v>
      </c>
      <c r="K12" s="17">
        <f t="shared" si="1"/>
        <v>3</v>
      </c>
      <c r="L12" s="17">
        <f t="shared" si="1"/>
        <v>3</v>
      </c>
      <c r="M12" s="17">
        <f t="shared" si="1"/>
        <v>4</v>
      </c>
      <c r="N12" s="17">
        <f t="shared" si="1"/>
        <v>4</v>
      </c>
      <c r="O12" s="17">
        <f t="shared" si="1"/>
        <v>5</v>
      </c>
      <c r="P12" s="17">
        <f t="shared" si="1"/>
        <v>6</v>
      </c>
      <c r="Q12" s="17">
        <f t="shared" si="1"/>
        <v>7</v>
      </c>
      <c r="R12" s="17">
        <f t="shared" si="1"/>
        <v>8</v>
      </c>
      <c r="S12" s="17">
        <f t="shared" si="1"/>
        <v>9</v>
      </c>
      <c r="T12" s="17">
        <f t="shared" si="1"/>
        <v>10</v>
      </c>
      <c r="U12" s="17">
        <f t="shared" si="1"/>
        <v>11</v>
      </c>
      <c r="V12" s="17">
        <f t="shared" si="1"/>
        <v>12</v>
      </c>
      <c r="W12" s="17">
        <f t="shared" si="1"/>
        <v>13</v>
      </c>
      <c r="X12" s="17">
        <f t="shared" si="1"/>
        <v>14</v>
      </c>
    </row>
    <row r="13" spans="1:24" x14ac:dyDescent="0.25">
      <c r="C13" s="27" t="s">
        <v>159</v>
      </c>
      <c r="E13" s="17">
        <f t="shared" ref="E13:X13" si="2">VLOOKUP(E4,ML,13,FALSE)</f>
        <v>48510</v>
      </c>
      <c r="F13" s="17">
        <f t="shared" si="2"/>
        <v>0</v>
      </c>
      <c r="G13" s="17">
        <f t="shared" si="2"/>
        <v>0</v>
      </c>
      <c r="H13" s="17">
        <f t="shared" si="2"/>
        <v>18893</v>
      </c>
      <c r="I13" s="17">
        <f t="shared" si="2"/>
        <v>0</v>
      </c>
      <c r="J13" s="17">
        <f t="shared" si="2"/>
        <v>0</v>
      </c>
      <c r="K13" s="17">
        <f t="shared" si="2"/>
        <v>48510</v>
      </c>
      <c r="L13" s="17">
        <f t="shared" si="2"/>
        <v>0</v>
      </c>
      <c r="M13" s="17">
        <f t="shared" si="2"/>
        <v>18893</v>
      </c>
      <c r="N13" s="17">
        <f t="shared" si="2"/>
        <v>0</v>
      </c>
      <c r="O13" s="17">
        <f t="shared" si="2"/>
        <v>48510</v>
      </c>
      <c r="P13" s="17">
        <f t="shared" si="2"/>
        <v>18893</v>
      </c>
      <c r="Q13" s="17">
        <f t="shared" si="2"/>
        <v>48510</v>
      </c>
      <c r="R13" s="17">
        <f t="shared" si="2"/>
        <v>18893</v>
      </c>
      <c r="S13" s="17">
        <f t="shared" si="2"/>
        <v>48510</v>
      </c>
      <c r="T13" s="17">
        <f t="shared" si="2"/>
        <v>18893</v>
      </c>
      <c r="U13" s="17">
        <f t="shared" si="2"/>
        <v>48510</v>
      </c>
      <c r="V13" s="17">
        <f t="shared" si="2"/>
        <v>18893</v>
      </c>
      <c r="W13" s="17">
        <f t="shared" si="2"/>
        <v>48510</v>
      </c>
      <c r="X13" s="17">
        <f t="shared" si="2"/>
        <v>18893</v>
      </c>
    </row>
    <row r="14" spans="1:24" x14ac:dyDescent="0.25">
      <c r="C14" s="15" t="s">
        <v>83</v>
      </c>
      <c r="E14" s="17">
        <f>3*SUM(E40:E59)</f>
        <v>2950.8236607928425</v>
      </c>
      <c r="F14" s="17">
        <f t="shared" ref="F14:X14" si="3">3*SUM(F40:F59)</f>
        <v>2950.8236607928425</v>
      </c>
      <c r="G14" s="17">
        <f>3*SUM(G40:G59)</f>
        <v>2950.8236607928425</v>
      </c>
      <c r="H14" s="17">
        <f t="shared" si="3"/>
        <v>4100.0694126658418</v>
      </c>
      <c r="I14" s="17">
        <f>3*SUM(I40:I59)</f>
        <v>4100.0694126658418</v>
      </c>
      <c r="J14" s="17">
        <f t="shared" si="3"/>
        <v>4100.0694126658418</v>
      </c>
      <c r="K14" s="17">
        <f t="shared" si="3"/>
        <v>7050.8930734586847</v>
      </c>
      <c r="L14" s="17">
        <f t="shared" si="3"/>
        <v>7050.8930734586847</v>
      </c>
      <c r="M14" s="17">
        <f t="shared" si="3"/>
        <v>8200.1388253316836</v>
      </c>
      <c r="N14" s="17">
        <f t="shared" si="3"/>
        <v>8200.1388253316836</v>
      </c>
      <c r="O14" s="17">
        <f t="shared" si="3"/>
        <v>11150.962486124527</v>
      </c>
      <c r="P14" s="17">
        <f t="shared" si="3"/>
        <v>12300.208237997525</v>
      </c>
      <c r="Q14" s="17">
        <f t="shared" si="3"/>
        <v>15251.031898790368</v>
      </c>
      <c r="R14" s="17">
        <f t="shared" si="3"/>
        <v>16400.277650663367</v>
      </c>
      <c r="S14" s="17">
        <f t="shared" si="3"/>
        <v>19351.101311456208</v>
      </c>
      <c r="T14" s="17">
        <f t="shared" si="3"/>
        <v>20500.347063329209</v>
      </c>
      <c r="U14" s="17">
        <f>3*SUM(U40:U59)</f>
        <v>20500.347063329209</v>
      </c>
      <c r="V14" s="17">
        <f t="shared" si="3"/>
        <v>21649.59281520221</v>
      </c>
      <c r="W14" s="17">
        <f t="shared" si="3"/>
        <v>24600.416475995051</v>
      </c>
      <c r="X14" s="17">
        <f t="shared" si="3"/>
        <v>24600.416475995051</v>
      </c>
    </row>
    <row r="15" spans="1:24" x14ac:dyDescent="0.25">
      <c r="E15" s="23"/>
      <c r="F15" s="23"/>
      <c r="G15" s="23"/>
      <c r="H15" s="23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4" x14ac:dyDescent="0.25">
      <c r="C16" s="27" t="s">
        <v>115</v>
      </c>
      <c r="E16" s="23">
        <v>30</v>
      </c>
      <c r="F16" s="23"/>
      <c r="G16" s="23"/>
      <c r="H16" s="23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3:24" x14ac:dyDescent="0.25">
      <c r="C17" s="15" t="s">
        <v>71</v>
      </c>
      <c r="E17" s="23">
        <f>IF(E16-E5&gt;0,0,E5-20)</f>
        <v>46</v>
      </c>
      <c r="F17" s="23">
        <f t="shared" ref="F17:X17" si="4">F5-E5</f>
        <v>66</v>
      </c>
      <c r="G17" s="23">
        <f t="shared" si="4"/>
        <v>0</v>
      </c>
      <c r="H17" s="23">
        <f t="shared" si="4"/>
        <v>0</v>
      </c>
      <c r="I17" s="23">
        <f t="shared" si="4"/>
        <v>33</v>
      </c>
      <c r="J17" s="23">
        <f t="shared" si="4"/>
        <v>33</v>
      </c>
      <c r="K17" s="23">
        <f t="shared" si="4"/>
        <v>33</v>
      </c>
      <c r="L17" s="23">
        <f t="shared" si="4"/>
        <v>33</v>
      </c>
      <c r="M17" s="23">
        <f t="shared" si="4"/>
        <v>54</v>
      </c>
      <c r="N17" s="23">
        <f t="shared" si="4"/>
        <v>54</v>
      </c>
      <c r="O17" s="23">
        <f t="shared" si="4"/>
        <v>54</v>
      </c>
      <c r="P17" s="23">
        <f t="shared" si="4"/>
        <v>54</v>
      </c>
      <c r="Q17" s="23">
        <f t="shared" si="4"/>
        <v>120</v>
      </c>
      <c r="R17" s="23">
        <f t="shared" si="4"/>
        <v>120</v>
      </c>
      <c r="S17" s="23">
        <f t="shared" si="4"/>
        <v>120</v>
      </c>
      <c r="T17" s="23">
        <f t="shared" si="4"/>
        <v>120</v>
      </c>
      <c r="U17" s="23">
        <f t="shared" si="4"/>
        <v>240</v>
      </c>
      <c r="V17" s="23">
        <f t="shared" si="4"/>
        <v>240</v>
      </c>
      <c r="W17" s="23">
        <f t="shared" si="4"/>
        <v>240</v>
      </c>
      <c r="X17" s="23">
        <f t="shared" si="4"/>
        <v>240</v>
      </c>
    </row>
    <row r="18" spans="3:24" x14ac:dyDescent="0.25">
      <c r="C18" s="15" t="s">
        <v>72</v>
      </c>
      <c r="E18" s="23">
        <f>E16*Assumptions!$F$187</f>
        <v>10675.454545454546</v>
      </c>
      <c r="F18" s="23">
        <f>F17*Assumptions!$F$187</f>
        <v>23486</v>
      </c>
      <c r="G18" s="23">
        <f>G17*Assumptions!$F$187</f>
        <v>0</v>
      </c>
      <c r="H18" s="23">
        <f>H17*Assumptions!$F$187</f>
        <v>0</v>
      </c>
      <c r="I18" s="23">
        <f>I17*Assumptions!$F$187</f>
        <v>11743</v>
      </c>
      <c r="J18" s="23">
        <f>J17*Assumptions!$F$187</f>
        <v>11743</v>
      </c>
      <c r="K18" s="23">
        <f>K17*Assumptions!$F$187</f>
        <v>11743</v>
      </c>
      <c r="L18" s="23">
        <f>L17*Assumptions!$F$187</f>
        <v>11743</v>
      </c>
      <c r="M18" s="23">
        <f>M17*Assumptions!$F$187</f>
        <v>19215.818181818184</v>
      </c>
      <c r="N18" s="23">
        <f>N17*Assumptions!$F$187</f>
        <v>19215.818181818184</v>
      </c>
      <c r="O18" s="23">
        <f>O17*Assumptions!$F$187</f>
        <v>19215.818181818184</v>
      </c>
      <c r="P18" s="23">
        <f>P17*Assumptions!$F$187</f>
        <v>19215.818181818184</v>
      </c>
      <c r="Q18" s="23">
        <f>Q17*Assumptions!$F$187</f>
        <v>42701.818181818184</v>
      </c>
      <c r="R18" s="23">
        <f>R17*Assumptions!$F$187</f>
        <v>42701.818181818184</v>
      </c>
      <c r="S18" s="23">
        <f>S17*Assumptions!$F$187</f>
        <v>42701.818181818184</v>
      </c>
      <c r="T18" s="23">
        <f>T17*Assumptions!$F$187</f>
        <v>42701.818181818184</v>
      </c>
      <c r="U18" s="23">
        <f>U17*Assumptions!$F$187</f>
        <v>85403.636363636368</v>
      </c>
      <c r="V18" s="23">
        <f>V17*Assumptions!$F$187</f>
        <v>85403.636363636368</v>
      </c>
      <c r="W18" s="23">
        <f>W17*Assumptions!$F$187</f>
        <v>85403.636363636368</v>
      </c>
      <c r="X18" s="23">
        <f>X17*Assumptions!$F$187</f>
        <v>85403.636363636368</v>
      </c>
    </row>
    <row r="19" spans="3:24" x14ac:dyDescent="0.25">
      <c r="C19" s="15" t="s">
        <v>66</v>
      </c>
      <c r="E19" s="23">
        <f>3*SUM(E64:E83)</f>
        <v>1046.7291134065508</v>
      </c>
      <c r="F19" s="23">
        <f t="shared" ref="F19:X19" si="5">3*SUM(F64:F83)</f>
        <v>2548.5578413376888</v>
      </c>
      <c r="G19" s="23">
        <f t="shared" si="5"/>
        <v>2548.5578413376888</v>
      </c>
      <c r="H19" s="23">
        <f t="shared" si="5"/>
        <v>2548.5578413376888</v>
      </c>
      <c r="I19" s="23">
        <f t="shared" si="5"/>
        <v>3299.4722053032583</v>
      </c>
      <c r="J19" s="23">
        <f t="shared" si="5"/>
        <v>4050.3865692688269</v>
      </c>
      <c r="K19" s="23">
        <f t="shared" si="5"/>
        <v>4801.3009332343963</v>
      </c>
      <c r="L19" s="23">
        <f t="shared" si="5"/>
        <v>5552.2152971999649</v>
      </c>
      <c r="M19" s="23">
        <f t="shared" si="5"/>
        <v>6780.9842564163509</v>
      </c>
      <c r="N19" s="23">
        <f t="shared" si="5"/>
        <v>8009.7532156327361</v>
      </c>
      <c r="O19" s="23">
        <f t="shared" si="5"/>
        <v>9238.5221748491203</v>
      </c>
      <c r="P19" s="23">
        <f t="shared" si="5"/>
        <v>10467.291134065506</v>
      </c>
      <c r="Q19" s="23">
        <f t="shared" si="5"/>
        <v>13197.88882121303</v>
      </c>
      <c r="R19" s="23">
        <f t="shared" si="5"/>
        <v>15928.486508360553</v>
      </c>
      <c r="S19" s="23">
        <f t="shared" si="5"/>
        <v>18659.084195508076</v>
      </c>
      <c r="T19" s="23">
        <f t="shared" si="5"/>
        <v>21389.681882655597</v>
      </c>
      <c r="U19" s="23">
        <f t="shared" si="5"/>
        <v>25804.148143544095</v>
      </c>
      <c r="V19" s="23">
        <f t="shared" si="5"/>
        <v>29763.514789908008</v>
      </c>
      <c r="W19" s="23">
        <f t="shared" si="5"/>
        <v>35224.710164203054</v>
      </c>
      <c r="X19" s="23">
        <f t="shared" si="5"/>
        <v>36373.955916076055</v>
      </c>
    </row>
    <row r="20" spans="3:24" x14ac:dyDescent="0.25">
      <c r="C20" s="27" t="s">
        <v>156</v>
      </c>
      <c r="D20">
        <f>H19*4</f>
        <v>10194.231365350755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3:24" x14ac:dyDescent="0.25">
      <c r="C21" s="15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3:24" x14ac:dyDescent="0.25">
      <c r="C22" s="15" t="s">
        <v>73</v>
      </c>
      <c r="E22" s="23">
        <f>E14+E19</f>
        <v>3997.5527741993933</v>
      </c>
      <c r="F22" s="23">
        <f>F14+F19</f>
        <v>5499.3815021305309</v>
      </c>
      <c r="G22" s="23">
        <f t="shared" ref="G22:X22" si="6">G14+G19</f>
        <v>5499.3815021305309</v>
      </c>
      <c r="H22" s="23">
        <f t="shared" si="6"/>
        <v>6648.6272540035307</v>
      </c>
      <c r="I22" s="23">
        <f t="shared" si="6"/>
        <v>7399.5416179691001</v>
      </c>
      <c r="J22" s="23">
        <f t="shared" si="6"/>
        <v>8150.4559819346687</v>
      </c>
      <c r="K22" s="23">
        <f t="shared" si="6"/>
        <v>11852.19400669308</v>
      </c>
      <c r="L22" s="23">
        <f t="shared" si="6"/>
        <v>12603.108370658651</v>
      </c>
      <c r="M22" s="23">
        <f t="shared" si="6"/>
        <v>14981.123081748035</v>
      </c>
      <c r="N22" s="23">
        <f t="shared" si="6"/>
        <v>16209.89204096442</v>
      </c>
      <c r="O22" s="23">
        <f t="shared" si="6"/>
        <v>20389.484660973649</v>
      </c>
      <c r="P22" s="23">
        <f t="shared" si="6"/>
        <v>22767.49937206303</v>
      </c>
      <c r="Q22" s="23">
        <f t="shared" si="6"/>
        <v>28448.9207200034</v>
      </c>
      <c r="R22" s="23">
        <f t="shared" si="6"/>
        <v>32328.764159023922</v>
      </c>
      <c r="S22" s="23">
        <f t="shared" si="6"/>
        <v>38010.185506964284</v>
      </c>
      <c r="T22" s="23">
        <f t="shared" si="6"/>
        <v>41890.028945984806</v>
      </c>
      <c r="U22" s="23">
        <f t="shared" si="6"/>
        <v>46304.495206873304</v>
      </c>
      <c r="V22" s="23">
        <f t="shared" si="6"/>
        <v>51413.107605110214</v>
      </c>
      <c r="W22" s="23">
        <f t="shared" si="6"/>
        <v>59825.126640198105</v>
      </c>
      <c r="X22" s="23">
        <f t="shared" si="6"/>
        <v>60974.372392071105</v>
      </c>
    </row>
    <row r="23" spans="3:24" x14ac:dyDescent="0.25">
      <c r="E23" s="23"/>
      <c r="F23" s="23"/>
      <c r="G23" s="23"/>
      <c r="H23" s="23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3:24" x14ac:dyDescent="0.25">
      <c r="C24" s="15" t="s">
        <v>74</v>
      </c>
      <c r="D24" s="5">
        <f>Assumptions!I24</f>
        <v>650</v>
      </c>
      <c r="E24" s="23">
        <f t="shared" ref="E24:X24" si="7">$D$24*3*E12</f>
        <v>1950</v>
      </c>
      <c r="F24" s="23">
        <f t="shared" si="7"/>
        <v>1950</v>
      </c>
      <c r="G24" s="23">
        <f t="shared" si="7"/>
        <v>1950</v>
      </c>
      <c r="H24" s="23">
        <f t="shared" si="7"/>
        <v>3900</v>
      </c>
      <c r="I24" s="23">
        <f t="shared" si="7"/>
        <v>3900</v>
      </c>
      <c r="J24" s="23">
        <f t="shared" si="7"/>
        <v>3900</v>
      </c>
      <c r="K24" s="23">
        <f t="shared" si="7"/>
        <v>5850</v>
      </c>
      <c r="L24" s="23">
        <f t="shared" si="7"/>
        <v>5850</v>
      </c>
      <c r="M24" s="23">
        <f t="shared" si="7"/>
        <v>7800</v>
      </c>
      <c r="N24" s="23">
        <f t="shared" si="7"/>
        <v>7800</v>
      </c>
      <c r="O24" s="23">
        <f t="shared" si="7"/>
        <v>9750</v>
      </c>
      <c r="P24" s="23">
        <f t="shared" si="7"/>
        <v>11700</v>
      </c>
      <c r="Q24" s="23">
        <f t="shared" si="7"/>
        <v>13650</v>
      </c>
      <c r="R24" s="23">
        <f t="shared" si="7"/>
        <v>15600</v>
      </c>
      <c r="S24" s="23">
        <f t="shared" si="7"/>
        <v>17550</v>
      </c>
      <c r="T24" s="23">
        <f t="shared" si="7"/>
        <v>19500</v>
      </c>
      <c r="U24" s="23">
        <f t="shared" si="7"/>
        <v>21450</v>
      </c>
      <c r="V24" s="23">
        <f t="shared" si="7"/>
        <v>23400</v>
      </c>
      <c r="W24" s="23">
        <f t="shared" si="7"/>
        <v>25350</v>
      </c>
      <c r="X24" s="23">
        <f t="shared" si="7"/>
        <v>27300</v>
      </c>
    </row>
    <row r="25" spans="3:24" ht="13.5" customHeight="1" x14ac:dyDescent="0.25">
      <c r="C25" s="15" t="s">
        <v>76</v>
      </c>
      <c r="E25" s="23">
        <f>3*VLOOKUP(E$5,Assumptions!$K$12:$N$64,3,TRUE)</f>
        <v>3000</v>
      </c>
      <c r="F25" s="23">
        <f>3*VLOOKUP(F$5,Assumptions!$K$12:$N$64,3,TRUE)</f>
        <v>3000</v>
      </c>
      <c r="G25" s="23">
        <f>3*VLOOKUP(G$5,Assumptions!$K$12:$N$64,3,TRUE)</f>
        <v>3000</v>
      </c>
      <c r="H25" s="23">
        <f>3*VLOOKUP(H$5,Assumptions!$K$12:$N$64,3,TRUE)</f>
        <v>3000</v>
      </c>
      <c r="I25" s="23">
        <f>3*VLOOKUP(I$5,Assumptions!$K$12:$N$64,3,TRUE)</f>
        <v>3000</v>
      </c>
      <c r="J25" s="23">
        <f>3*VLOOKUP(J$5,Assumptions!$K$12:$N$64,3,TRUE)</f>
        <v>3000</v>
      </c>
      <c r="K25" s="23">
        <f>3*VLOOKUP(K$5,Assumptions!$K$12:$N$64,3,TRUE)</f>
        <v>4500</v>
      </c>
      <c r="L25" s="23">
        <f>3*VLOOKUP(L$5,Assumptions!$K$12:$N$64,3,TRUE)</f>
        <v>4500</v>
      </c>
      <c r="M25" s="23">
        <f>3*VLOOKUP(M$5,Assumptions!$K$12:$N$64,3,TRUE)</f>
        <v>5595</v>
      </c>
      <c r="N25" s="23">
        <f>3*VLOOKUP(N$5,Assumptions!$K$12:$N$64,3,TRUE)</f>
        <v>5595</v>
      </c>
      <c r="O25" s="23">
        <f>3*VLOOKUP(O$5,Assumptions!$K$12:$N$64,3,TRUE)</f>
        <v>6690</v>
      </c>
      <c r="P25" s="23">
        <f>3*VLOOKUP(P$5,Assumptions!$K$12:$N$64,3,TRUE)</f>
        <v>6690</v>
      </c>
      <c r="Q25" s="23">
        <f>3*VLOOKUP(Q$5,Assumptions!$K$12:$N$64,3,TRUE)</f>
        <v>8825.25</v>
      </c>
      <c r="R25" s="23">
        <f>3*VLOOKUP(R$5,Assumptions!$K$12:$N$64,3,TRUE)</f>
        <v>9865.5</v>
      </c>
      <c r="S25" s="23">
        <f>3*VLOOKUP(S$5,Assumptions!$K$12:$N$64,3,TRUE)</f>
        <v>10905.75</v>
      </c>
      <c r="T25" s="23">
        <f>3*VLOOKUP(T$5,Assumptions!$K$12:$N$64,3,TRUE)</f>
        <v>11946</v>
      </c>
      <c r="U25" s="23">
        <f>3*VLOOKUP(U$5,Assumptions!$K$12:$N$64,3,TRUE)</f>
        <v>15066.75</v>
      </c>
      <c r="V25" s="23">
        <f>3*VLOOKUP(V$5,Assumptions!$K$12:$N$64,3,TRUE)</f>
        <v>17147.25</v>
      </c>
      <c r="W25" s="23">
        <f>3*VLOOKUP(W$5,Assumptions!$K$12:$N$64,3,TRUE)</f>
        <v>19227.75</v>
      </c>
      <c r="X25" s="23">
        <f>3*VLOOKUP(X$5,Assumptions!$K$12:$N$64,3,TRUE)</f>
        <v>22348.5</v>
      </c>
    </row>
    <row r="26" spans="3:24" x14ac:dyDescent="0.25">
      <c r="C26" s="15" t="s">
        <v>78</v>
      </c>
      <c r="E26" s="23">
        <f>E25+E24</f>
        <v>4950</v>
      </c>
      <c r="F26" s="23">
        <f t="shared" ref="F26:X26" si="8">F25+F24</f>
        <v>4950</v>
      </c>
      <c r="G26" s="23">
        <f t="shared" si="8"/>
        <v>4950</v>
      </c>
      <c r="H26" s="23">
        <f t="shared" si="8"/>
        <v>6900</v>
      </c>
      <c r="I26" s="23">
        <f t="shared" si="8"/>
        <v>6900</v>
      </c>
      <c r="J26" s="23">
        <f t="shared" si="8"/>
        <v>6900</v>
      </c>
      <c r="K26" s="23">
        <f t="shared" si="8"/>
        <v>10350</v>
      </c>
      <c r="L26" s="23">
        <f t="shared" si="8"/>
        <v>10350</v>
      </c>
      <c r="M26" s="23">
        <f t="shared" si="8"/>
        <v>13395</v>
      </c>
      <c r="N26" s="23">
        <f t="shared" si="8"/>
        <v>13395</v>
      </c>
      <c r="O26" s="23">
        <f t="shared" si="8"/>
        <v>16440</v>
      </c>
      <c r="P26" s="23">
        <f t="shared" si="8"/>
        <v>18390</v>
      </c>
      <c r="Q26" s="23">
        <f t="shared" si="8"/>
        <v>22475.25</v>
      </c>
      <c r="R26" s="23">
        <f t="shared" si="8"/>
        <v>25465.5</v>
      </c>
      <c r="S26" s="23">
        <f t="shared" si="8"/>
        <v>28455.75</v>
      </c>
      <c r="T26" s="23">
        <f t="shared" si="8"/>
        <v>31446</v>
      </c>
      <c r="U26" s="23">
        <f t="shared" si="8"/>
        <v>36516.75</v>
      </c>
      <c r="V26" s="23">
        <f t="shared" si="8"/>
        <v>40547.25</v>
      </c>
      <c r="W26" s="23">
        <f t="shared" si="8"/>
        <v>44577.75</v>
      </c>
      <c r="X26" s="23">
        <f t="shared" si="8"/>
        <v>49648.5</v>
      </c>
    </row>
    <row r="27" spans="3:24" x14ac:dyDescent="0.25">
      <c r="C27" s="15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3:24" x14ac:dyDescent="0.25">
      <c r="C28" s="15" t="s">
        <v>88</v>
      </c>
      <c r="E28" s="23">
        <f>VLOOKUP(E$5,Assumptions!$K$12:$N$64,4,TRUE)</f>
        <v>199</v>
      </c>
      <c r="F28" s="23">
        <f>3*VLOOKUP(F$5,Assumptions!$K$12:$N$64,4,TRUE)</f>
        <v>597</v>
      </c>
      <c r="G28" s="23">
        <f>3*VLOOKUP(G$5,Assumptions!$K$12:$N$64,4,TRUE)</f>
        <v>597</v>
      </c>
      <c r="H28" s="23">
        <f>3*VLOOKUP(H$5,Assumptions!$K$12:$N$64,4,TRUE)</f>
        <v>597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3:24" x14ac:dyDescent="0.25">
      <c r="C29" s="15" t="s">
        <v>87</v>
      </c>
      <c r="E29" s="23">
        <f>$D$34*6*(E5/3)</f>
        <v>2251</v>
      </c>
      <c r="F29" s="23">
        <f>$D$34*6*((F5-E5)/3)+E29</f>
        <v>4502</v>
      </c>
      <c r="G29" s="23">
        <f>$D$34*6*((G5-F5)/3)+F29</f>
        <v>4502</v>
      </c>
      <c r="H29" s="23">
        <f>$D$34*6*((H5-G5)/3)+G29</f>
        <v>4502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3:24" x14ac:dyDescent="0.25">
      <c r="C30" s="15" t="s">
        <v>90</v>
      </c>
      <c r="D30" s="17">
        <f>SUM(E30:H30)</f>
        <v>17548</v>
      </c>
      <c r="E30" s="23">
        <f>E29</f>
        <v>2251</v>
      </c>
      <c r="F30" s="23">
        <f>F28+F29</f>
        <v>5099</v>
      </c>
      <c r="G30" s="23">
        <f>G28+G29</f>
        <v>5099</v>
      </c>
      <c r="H30" s="23">
        <f>H28+H29</f>
        <v>5099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3:24" x14ac:dyDescent="0.25">
      <c r="C31" s="27" t="s">
        <v>107</v>
      </c>
      <c r="D31" s="17">
        <f>(H28+H29)*4</f>
        <v>20396</v>
      </c>
      <c r="E31" s="23"/>
      <c r="F31" s="23"/>
      <c r="G31" s="23"/>
      <c r="H31" s="23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3:24" x14ac:dyDescent="0.25">
      <c r="E32" s="23"/>
      <c r="F32" s="23"/>
      <c r="G32" s="23"/>
      <c r="H32" s="23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2:24" x14ac:dyDescent="0.25">
      <c r="C33" s="15" t="s">
        <v>77</v>
      </c>
      <c r="E33" s="23"/>
      <c r="F33" s="17"/>
      <c r="G33" s="23"/>
      <c r="H33" s="23"/>
      <c r="I33" s="23">
        <f>3*VLOOKUP(I$5,Assumptions!$K$12:$N$64,4,TRUE)</f>
        <v>597</v>
      </c>
      <c r="J33" s="23">
        <f>3*VLOOKUP(J$5,Assumptions!$K$12:$N$64,4,TRUE)</f>
        <v>597</v>
      </c>
      <c r="K33" s="23">
        <f>3*VLOOKUP(K$5,Assumptions!$K$12:$N$64,4,TRUE)</f>
        <v>1194</v>
      </c>
      <c r="L33" s="23">
        <f>3*VLOOKUP(L$5,Assumptions!$K$12:$N$64,4,TRUE)</f>
        <v>1194</v>
      </c>
      <c r="M33" s="23">
        <f>3*VLOOKUP(M$5,Assumptions!$K$12:$N$64,4,TRUE)</f>
        <v>1791</v>
      </c>
      <c r="N33" s="23">
        <f>3*VLOOKUP(N$5,Assumptions!$K$12:$N$64,4,TRUE)</f>
        <v>1791</v>
      </c>
      <c r="O33" s="23">
        <f>3*VLOOKUP(O$5,Assumptions!$K$12:$N$64,4,TRUE)</f>
        <v>2388</v>
      </c>
      <c r="P33" s="23">
        <f>3*VLOOKUP(P$5,Assumptions!$K$12:$N$64,4,TRUE)</f>
        <v>2388</v>
      </c>
      <c r="Q33" s="23">
        <f>3*VLOOKUP(Q$5,Assumptions!$K$12:$N$64,4,TRUE)</f>
        <v>3552.1499999999996</v>
      </c>
      <c r="R33" s="23">
        <f>3*VLOOKUP(R$5,Assumptions!$K$12:$N$64,4,TRUE)</f>
        <v>4119.2999999999993</v>
      </c>
      <c r="S33" s="23">
        <f>3*VLOOKUP(S$5,Assumptions!$K$12:$N$64,4,TRUE)</f>
        <v>4686.4500000000007</v>
      </c>
      <c r="T33" s="23">
        <f>3*VLOOKUP(T$5,Assumptions!$K$12:$N$64,4,TRUE)</f>
        <v>5253.6</v>
      </c>
      <c r="U33" s="23">
        <f>3*VLOOKUP(U$5,Assumptions!$K$12:$N$64,4,TRUE)</f>
        <v>6955.0499999999993</v>
      </c>
      <c r="V33" s="23">
        <f>3*VLOOKUP(V$5,Assumptions!$K$12:$N$64,4,TRUE)</f>
        <v>8089.3499999999995</v>
      </c>
      <c r="W33" s="23">
        <f>3*VLOOKUP(W$5,Assumptions!$K$12:$N$64,4,TRUE)</f>
        <v>9223.6500000000015</v>
      </c>
      <c r="X33" s="23">
        <f>3*VLOOKUP(X$5,Assumptions!$K$12:$N$64,4,TRUE)</f>
        <v>10925.099999999999</v>
      </c>
    </row>
    <row r="34" spans="2:24" x14ac:dyDescent="0.25">
      <c r="C34" s="15" t="s">
        <v>79</v>
      </c>
      <c r="D34" s="10">
        <f>Assumptions!E144</f>
        <v>17.053030303030305</v>
      </c>
      <c r="E34" s="17"/>
      <c r="F34" s="17"/>
      <c r="G34" s="17"/>
      <c r="H34" s="17"/>
      <c r="I34" s="23">
        <f>$D$34*6*((I5-H5)/3)+H29</f>
        <v>5627.5</v>
      </c>
      <c r="J34" s="23">
        <f t="shared" ref="J34:X34" si="9">$D$34*6*((J5-I5)/3)+I34</f>
        <v>6753</v>
      </c>
      <c r="K34" s="23">
        <f t="shared" si="9"/>
        <v>7878.5</v>
      </c>
      <c r="L34" s="23">
        <f t="shared" si="9"/>
        <v>9004</v>
      </c>
      <c r="M34" s="23">
        <f t="shared" si="9"/>
        <v>10845.727272727272</v>
      </c>
      <c r="N34" s="23">
        <f t="shared" si="9"/>
        <v>12687.454545454544</v>
      </c>
      <c r="O34" s="23">
        <f t="shared" si="9"/>
        <v>14529.181818181816</v>
      </c>
      <c r="P34" s="23">
        <f t="shared" si="9"/>
        <v>16370.909090909088</v>
      </c>
      <c r="Q34" s="23">
        <f t="shared" si="9"/>
        <v>20463.63636363636</v>
      </c>
      <c r="R34" s="23">
        <f t="shared" si="9"/>
        <v>24556.363636363632</v>
      </c>
      <c r="S34" s="23">
        <f t="shared" si="9"/>
        <v>28649.090909090904</v>
      </c>
      <c r="T34" s="23">
        <f t="shared" si="9"/>
        <v>32741.818181818177</v>
      </c>
      <c r="U34" s="23">
        <f t="shared" si="9"/>
        <v>40927.272727272721</v>
      </c>
      <c r="V34" s="23">
        <f t="shared" si="9"/>
        <v>49112.727272727265</v>
      </c>
      <c r="W34" s="23">
        <f t="shared" si="9"/>
        <v>57298.181818181809</v>
      </c>
      <c r="X34" s="23">
        <f t="shared" si="9"/>
        <v>65483.636363636353</v>
      </c>
    </row>
    <row r="35" spans="2:24" x14ac:dyDescent="0.25">
      <c r="C35" s="15" t="s">
        <v>80</v>
      </c>
      <c r="E35" s="17">
        <f>E30</f>
        <v>2251</v>
      </c>
      <c r="F35" s="17">
        <f t="shared" ref="F35:H35" si="10">F30</f>
        <v>5099</v>
      </c>
      <c r="G35" s="17">
        <f t="shared" si="10"/>
        <v>5099</v>
      </c>
      <c r="H35" s="17">
        <f t="shared" si="10"/>
        <v>5099</v>
      </c>
      <c r="I35" s="23">
        <f t="shared" ref="I35:X35" si="11">I33+I34</f>
        <v>6224.5</v>
      </c>
      <c r="J35" s="23">
        <f t="shared" si="11"/>
        <v>7350</v>
      </c>
      <c r="K35" s="23">
        <f t="shared" si="11"/>
        <v>9072.5</v>
      </c>
      <c r="L35" s="23">
        <f t="shared" si="11"/>
        <v>10198</v>
      </c>
      <c r="M35" s="23">
        <f t="shared" si="11"/>
        <v>12636.727272727272</v>
      </c>
      <c r="N35" s="23">
        <f t="shared" si="11"/>
        <v>14478.454545454544</v>
      </c>
      <c r="O35" s="23">
        <f t="shared" si="11"/>
        <v>16917.181818181816</v>
      </c>
      <c r="P35" s="23">
        <f t="shared" si="11"/>
        <v>18758.909090909088</v>
      </c>
      <c r="Q35" s="23">
        <f t="shared" si="11"/>
        <v>24015.786363636362</v>
      </c>
      <c r="R35" s="23">
        <f t="shared" si="11"/>
        <v>28675.663636363632</v>
      </c>
      <c r="S35" s="23">
        <f t="shared" si="11"/>
        <v>33335.540909090909</v>
      </c>
      <c r="T35" s="23">
        <f t="shared" si="11"/>
        <v>37995.418181818175</v>
      </c>
      <c r="U35" s="23">
        <f t="shared" si="11"/>
        <v>47882.322727272724</v>
      </c>
      <c r="V35" s="23">
        <f t="shared" si="11"/>
        <v>57202.077272727263</v>
      </c>
      <c r="W35" s="23">
        <f t="shared" si="11"/>
        <v>66521.831818181818</v>
      </c>
      <c r="X35" s="23">
        <f t="shared" si="11"/>
        <v>76408.736363636359</v>
      </c>
    </row>
    <row r="36" spans="2:24" x14ac:dyDescent="0.25">
      <c r="E36" s="23"/>
      <c r="F36" s="23"/>
      <c r="G36" s="23"/>
      <c r="H36" s="23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2:24" x14ac:dyDescent="0.25">
      <c r="E37" s="23"/>
      <c r="F37" s="23"/>
      <c r="G37" s="23"/>
      <c r="H37" s="23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2:24" x14ac:dyDescent="0.25">
      <c r="C38" s="15" t="s">
        <v>65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2:24" x14ac:dyDescent="0.25">
      <c r="C39" s="15" t="s">
        <v>67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2:24" x14ac:dyDescent="0.25">
      <c r="C40" s="15" t="s">
        <v>89</v>
      </c>
      <c r="D40">
        <v>1</v>
      </c>
      <c r="E40" s="17">
        <f>E13/Assumptions!$I$21</f>
        <v>983.60788693094753</v>
      </c>
      <c r="F40" s="17">
        <f>E40</f>
        <v>983.60788693094753</v>
      </c>
      <c r="G40" s="17">
        <f t="shared" ref="G40:T40" si="12">F40</f>
        <v>983.60788693094753</v>
      </c>
      <c r="H40" s="17">
        <f t="shared" si="12"/>
        <v>983.60788693094753</v>
      </c>
      <c r="I40" s="17">
        <f t="shared" si="12"/>
        <v>983.60788693094753</v>
      </c>
      <c r="J40" s="17">
        <f t="shared" si="12"/>
        <v>983.60788693094753</v>
      </c>
      <c r="K40" s="17">
        <f t="shared" si="12"/>
        <v>983.60788693094753</v>
      </c>
      <c r="L40" s="17">
        <f t="shared" si="12"/>
        <v>983.60788693094753</v>
      </c>
      <c r="M40" s="17">
        <f t="shared" si="12"/>
        <v>983.60788693094753</v>
      </c>
      <c r="N40" s="17">
        <f t="shared" si="12"/>
        <v>983.60788693094753</v>
      </c>
      <c r="O40" s="17">
        <f t="shared" si="12"/>
        <v>983.60788693094753</v>
      </c>
      <c r="P40" s="17">
        <f t="shared" si="12"/>
        <v>983.60788693094753</v>
      </c>
      <c r="Q40" s="17">
        <f t="shared" si="12"/>
        <v>983.60788693094753</v>
      </c>
      <c r="R40" s="17">
        <f t="shared" si="12"/>
        <v>983.60788693094753</v>
      </c>
      <c r="S40" s="17">
        <f t="shared" si="12"/>
        <v>983.60788693094753</v>
      </c>
      <c r="T40" s="17">
        <f t="shared" si="12"/>
        <v>983.60788693094753</v>
      </c>
      <c r="U40" s="17"/>
      <c r="V40" s="17"/>
      <c r="W40" s="17"/>
    </row>
    <row r="41" spans="2:24" x14ac:dyDescent="0.25">
      <c r="D41">
        <v>2</v>
      </c>
      <c r="E41" s="17"/>
      <c r="F41" s="17">
        <f>HLOOKUP($D41,TLC,10,TRUE)/Assumptions!$I$21</f>
        <v>0</v>
      </c>
      <c r="G41" s="17">
        <f>F41</f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/>
      <c r="W41" s="17"/>
    </row>
    <row r="42" spans="2:24" x14ac:dyDescent="0.25">
      <c r="D42">
        <v>3</v>
      </c>
      <c r="E42" s="17"/>
      <c r="F42" s="17"/>
      <c r="G42" s="17">
        <f>HLOOKUP($D42,TLC,10,TRUE)/Assumptions!$I$21</f>
        <v>0</v>
      </c>
      <c r="H42" s="17">
        <f>G42</f>
        <v>0</v>
      </c>
      <c r="I42" s="17">
        <f t="shared" ref="I42:U42" si="13">H42</f>
        <v>0</v>
      </c>
      <c r="J42" s="17">
        <f t="shared" si="13"/>
        <v>0</v>
      </c>
      <c r="K42" s="17">
        <f t="shared" si="13"/>
        <v>0</v>
      </c>
      <c r="L42" s="17">
        <f t="shared" si="13"/>
        <v>0</v>
      </c>
      <c r="M42" s="17">
        <f t="shared" si="13"/>
        <v>0</v>
      </c>
      <c r="N42" s="17">
        <f t="shared" si="13"/>
        <v>0</v>
      </c>
      <c r="O42" s="17">
        <f t="shared" si="13"/>
        <v>0</v>
      </c>
      <c r="P42" s="17">
        <f t="shared" si="13"/>
        <v>0</v>
      </c>
      <c r="Q42" s="17">
        <f t="shared" si="13"/>
        <v>0</v>
      </c>
      <c r="R42" s="17">
        <f t="shared" si="13"/>
        <v>0</v>
      </c>
      <c r="S42" s="17">
        <f t="shared" si="13"/>
        <v>0</v>
      </c>
      <c r="T42" s="17">
        <f t="shared" si="13"/>
        <v>0</v>
      </c>
      <c r="U42" s="17">
        <f t="shared" si="13"/>
        <v>0</v>
      </c>
      <c r="V42" s="17">
        <v>0</v>
      </c>
      <c r="W42" s="17"/>
    </row>
    <row r="43" spans="2:24" x14ac:dyDescent="0.25">
      <c r="B43" s="17"/>
      <c r="D43">
        <v>4</v>
      </c>
      <c r="E43" s="17"/>
      <c r="F43" s="17"/>
      <c r="G43" s="17"/>
      <c r="H43" s="17">
        <f>HLOOKUP($D43,TLC,10,TRUE)/Assumptions!$I$21</f>
        <v>383.08191729099963</v>
      </c>
      <c r="I43" s="17">
        <f>H43</f>
        <v>383.08191729099963</v>
      </c>
      <c r="J43" s="17">
        <f t="shared" ref="J43:W43" si="14">I43</f>
        <v>383.08191729099963</v>
      </c>
      <c r="K43" s="17">
        <f t="shared" si="14"/>
        <v>383.08191729099963</v>
      </c>
      <c r="L43" s="17">
        <f t="shared" si="14"/>
        <v>383.08191729099963</v>
      </c>
      <c r="M43" s="17">
        <f t="shared" si="14"/>
        <v>383.08191729099963</v>
      </c>
      <c r="N43" s="17">
        <f t="shared" si="14"/>
        <v>383.08191729099963</v>
      </c>
      <c r="O43" s="17">
        <f t="shared" si="14"/>
        <v>383.08191729099963</v>
      </c>
      <c r="P43" s="17">
        <f t="shared" si="14"/>
        <v>383.08191729099963</v>
      </c>
      <c r="Q43" s="17">
        <f t="shared" si="14"/>
        <v>383.08191729099963</v>
      </c>
      <c r="R43" s="17">
        <f t="shared" si="14"/>
        <v>383.08191729099963</v>
      </c>
      <c r="S43" s="17">
        <f t="shared" si="14"/>
        <v>383.08191729099963</v>
      </c>
      <c r="T43" s="17">
        <f t="shared" si="14"/>
        <v>383.08191729099963</v>
      </c>
      <c r="U43" s="17">
        <f t="shared" si="14"/>
        <v>383.08191729099963</v>
      </c>
      <c r="V43" s="17">
        <f t="shared" si="14"/>
        <v>383.08191729099963</v>
      </c>
      <c r="W43" s="17">
        <f t="shared" si="14"/>
        <v>383.08191729099963</v>
      </c>
    </row>
    <row r="44" spans="2:24" x14ac:dyDescent="0.25">
      <c r="D44">
        <v>5</v>
      </c>
      <c r="E44" s="17"/>
      <c r="F44" s="17"/>
      <c r="G44" s="17"/>
      <c r="H44" s="17"/>
      <c r="I44" s="17">
        <f>HLOOKUP($D44,TLC,10,TRUE)/Assumptions!$I$21</f>
        <v>0</v>
      </c>
      <c r="J44" s="17">
        <f>I44</f>
        <v>0</v>
      </c>
      <c r="K44" s="17">
        <f t="shared" ref="K44:X44" si="15">J44</f>
        <v>0</v>
      </c>
      <c r="L44" s="17">
        <f t="shared" si="15"/>
        <v>0</v>
      </c>
      <c r="M44" s="17">
        <f t="shared" si="15"/>
        <v>0</v>
      </c>
      <c r="N44" s="17">
        <f t="shared" si="15"/>
        <v>0</v>
      </c>
      <c r="O44" s="17">
        <f t="shared" si="15"/>
        <v>0</v>
      </c>
      <c r="P44" s="17">
        <f t="shared" si="15"/>
        <v>0</v>
      </c>
      <c r="Q44" s="17">
        <f t="shared" si="15"/>
        <v>0</v>
      </c>
      <c r="R44" s="17">
        <f t="shared" si="15"/>
        <v>0</v>
      </c>
      <c r="S44" s="17">
        <f t="shared" si="15"/>
        <v>0</v>
      </c>
      <c r="T44" s="17">
        <f t="shared" si="15"/>
        <v>0</v>
      </c>
      <c r="U44" s="17">
        <f t="shared" si="15"/>
        <v>0</v>
      </c>
      <c r="V44" s="17">
        <f t="shared" si="15"/>
        <v>0</v>
      </c>
      <c r="W44" s="17">
        <f t="shared" si="15"/>
        <v>0</v>
      </c>
      <c r="X44" s="17">
        <f t="shared" si="15"/>
        <v>0</v>
      </c>
    </row>
    <row r="45" spans="2:24" x14ac:dyDescent="0.25">
      <c r="D45">
        <v>6</v>
      </c>
      <c r="E45" s="17"/>
      <c r="F45" s="17"/>
      <c r="G45" s="17"/>
      <c r="H45" s="17"/>
      <c r="I45" s="17"/>
      <c r="J45" s="17">
        <f>HLOOKUP($D45,TLC,10,TRUE)/Assumptions!$I$21</f>
        <v>0</v>
      </c>
      <c r="K45" s="17">
        <f>J45</f>
        <v>0</v>
      </c>
      <c r="L45" s="17">
        <f t="shared" ref="L45:X45" si="16">K45</f>
        <v>0</v>
      </c>
      <c r="M45" s="17">
        <f t="shared" si="16"/>
        <v>0</v>
      </c>
      <c r="N45" s="17">
        <f t="shared" si="16"/>
        <v>0</v>
      </c>
      <c r="O45" s="17">
        <f t="shared" si="16"/>
        <v>0</v>
      </c>
      <c r="P45" s="17">
        <f t="shared" si="16"/>
        <v>0</v>
      </c>
      <c r="Q45" s="17">
        <f t="shared" si="16"/>
        <v>0</v>
      </c>
      <c r="R45" s="17">
        <f t="shared" si="16"/>
        <v>0</v>
      </c>
      <c r="S45" s="17">
        <f t="shared" si="16"/>
        <v>0</v>
      </c>
      <c r="T45" s="17">
        <f t="shared" si="16"/>
        <v>0</v>
      </c>
      <c r="U45" s="17">
        <f t="shared" si="16"/>
        <v>0</v>
      </c>
      <c r="V45" s="17">
        <f t="shared" si="16"/>
        <v>0</v>
      </c>
      <c r="W45" s="17">
        <f t="shared" si="16"/>
        <v>0</v>
      </c>
      <c r="X45" s="17">
        <f t="shared" si="16"/>
        <v>0</v>
      </c>
    </row>
    <row r="46" spans="2:24" x14ac:dyDescent="0.25">
      <c r="D46">
        <v>7</v>
      </c>
      <c r="E46" s="17"/>
      <c r="F46" s="17"/>
      <c r="G46" s="17"/>
      <c r="H46" s="17"/>
      <c r="I46" s="17"/>
      <c r="J46" s="17"/>
      <c r="K46" s="17">
        <f>HLOOKUP($D46,TLC,10,TRUE)/Assumptions!$I$21</f>
        <v>983.60788693094753</v>
      </c>
      <c r="L46" s="17">
        <f>K46</f>
        <v>983.60788693094753</v>
      </c>
      <c r="M46" s="17">
        <f t="shared" ref="M46:X46" si="17">L46</f>
        <v>983.60788693094753</v>
      </c>
      <c r="N46" s="17">
        <f t="shared" si="17"/>
        <v>983.60788693094753</v>
      </c>
      <c r="O46" s="17">
        <f t="shared" si="17"/>
        <v>983.60788693094753</v>
      </c>
      <c r="P46" s="17">
        <f t="shared" si="17"/>
        <v>983.60788693094753</v>
      </c>
      <c r="Q46" s="17">
        <f t="shared" si="17"/>
        <v>983.60788693094753</v>
      </c>
      <c r="R46" s="17">
        <f t="shared" si="17"/>
        <v>983.60788693094753</v>
      </c>
      <c r="S46" s="17">
        <f t="shared" si="17"/>
        <v>983.60788693094753</v>
      </c>
      <c r="T46" s="17">
        <f t="shared" si="17"/>
        <v>983.60788693094753</v>
      </c>
      <c r="U46" s="17">
        <f t="shared" si="17"/>
        <v>983.60788693094753</v>
      </c>
      <c r="V46" s="17">
        <f t="shared" si="17"/>
        <v>983.60788693094753</v>
      </c>
      <c r="W46" s="17">
        <f t="shared" si="17"/>
        <v>983.60788693094753</v>
      </c>
      <c r="X46" s="17">
        <f t="shared" si="17"/>
        <v>983.60788693094753</v>
      </c>
    </row>
    <row r="47" spans="2:24" x14ac:dyDescent="0.25">
      <c r="D47">
        <v>8</v>
      </c>
      <c r="E47" s="17"/>
      <c r="F47" s="17"/>
      <c r="G47" s="17"/>
      <c r="H47" s="17"/>
      <c r="I47" s="17"/>
      <c r="J47" s="17"/>
      <c r="K47" s="17"/>
      <c r="L47" s="17">
        <f>HLOOKUP($D47,TLC,10,TRUE)/Assumptions!$I$21</f>
        <v>0</v>
      </c>
      <c r="M47" s="17">
        <f>L47</f>
        <v>0</v>
      </c>
      <c r="N47" s="17">
        <f t="shared" ref="N47:X57" si="18">M47</f>
        <v>0</v>
      </c>
      <c r="O47" s="17">
        <f t="shared" si="18"/>
        <v>0</v>
      </c>
      <c r="P47" s="17">
        <f t="shared" si="18"/>
        <v>0</v>
      </c>
      <c r="Q47" s="17">
        <f t="shared" si="18"/>
        <v>0</v>
      </c>
      <c r="R47" s="17">
        <f t="shared" si="18"/>
        <v>0</v>
      </c>
      <c r="S47" s="17">
        <f t="shared" si="18"/>
        <v>0</v>
      </c>
      <c r="T47" s="17">
        <f t="shared" si="18"/>
        <v>0</v>
      </c>
      <c r="U47" s="17">
        <f t="shared" si="18"/>
        <v>0</v>
      </c>
      <c r="V47" s="17">
        <f t="shared" si="18"/>
        <v>0</v>
      </c>
      <c r="W47" s="17">
        <f t="shared" si="18"/>
        <v>0</v>
      </c>
      <c r="X47" s="17">
        <f t="shared" si="18"/>
        <v>0</v>
      </c>
    </row>
    <row r="48" spans="2:24" x14ac:dyDescent="0.25">
      <c r="D48">
        <v>9</v>
      </c>
      <c r="E48" s="17"/>
      <c r="F48" s="17"/>
      <c r="G48" s="17"/>
      <c r="H48" s="17"/>
      <c r="I48" s="17"/>
      <c r="J48" s="17"/>
      <c r="K48" s="17"/>
      <c r="L48" s="17"/>
      <c r="M48" s="17">
        <f>HLOOKUP($D48,TLC,10,TRUE)/Assumptions!$I$21</f>
        <v>383.08191729099963</v>
      </c>
      <c r="N48" s="17">
        <f>M48</f>
        <v>383.08191729099963</v>
      </c>
      <c r="O48" s="17">
        <f t="shared" si="18"/>
        <v>383.08191729099963</v>
      </c>
      <c r="P48" s="17">
        <f t="shared" si="18"/>
        <v>383.08191729099963</v>
      </c>
      <c r="Q48" s="17">
        <f t="shared" si="18"/>
        <v>383.08191729099963</v>
      </c>
      <c r="R48" s="17">
        <f t="shared" si="18"/>
        <v>383.08191729099963</v>
      </c>
      <c r="S48" s="17">
        <f t="shared" si="18"/>
        <v>383.08191729099963</v>
      </c>
      <c r="T48" s="17">
        <f t="shared" si="18"/>
        <v>383.08191729099963</v>
      </c>
      <c r="U48" s="17">
        <f t="shared" si="18"/>
        <v>383.08191729099963</v>
      </c>
      <c r="V48" s="17">
        <f t="shared" si="18"/>
        <v>383.08191729099963</v>
      </c>
      <c r="W48" s="17">
        <f t="shared" si="18"/>
        <v>383.08191729099963</v>
      </c>
      <c r="X48" s="17">
        <f t="shared" si="18"/>
        <v>383.08191729099963</v>
      </c>
    </row>
    <row r="49" spans="3:24" x14ac:dyDescent="0.25">
      <c r="D49">
        <v>10</v>
      </c>
      <c r="E49" s="17"/>
      <c r="F49" s="17"/>
      <c r="G49" s="17"/>
      <c r="H49" s="17"/>
      <c r="I49" s="17"/>
      <c r="J49" s="17"/>
      <c r="K49" s="17"/>
      <c r="L49" s="17"/>
      <c r="M49" s="17"/>
      <c r="N49" s="17">
        <f>HLOOKUP($D49,TLC,10,TRUE)/Assumptions!$I$21</f>
        <v>0</v>
      </c>
      <c r="O49" s="17">
        <f>N49</f>
        <v>0</v>
      </c>
      <c r="P49" s="17">
        <f t="shared" si="18"/>
        <v>0</v>
      </c>
      <c r="Q49" s="17">
        <f t="shared" si="18"/>
        <v>0</v>
      </c>
      <c r="R49" s="17">
        <f t="shared" si="18"/>
        <v>0</v>
      </c>
      <c r="S49" s="17">
        <f t="shared" si="18"/>
        <v>0</v>
      </c>
      <c r="T49" s="17">
        <f t="shared" si="18"/>
        <v>0</v>
      </c>
      <c r="U49" s="17">
        <f t="shared" si="18"/>
        <v>0</v>
      </c>
      <c r="V49" s="17">
        <f t="shared" si="18"/>
        <v>0</v>
      </c>
      <c r="W49" s="17">
        <f t="shared" si="18"/>
        <v>0</v>
      </c>
      <c r="X49" s="17">
        <f t="shared" si="18"/>
        <v>0</v>
      </c>
    </row>
    <row r="50" spans="3:24" x14ac:dyDescent="0.25">
      <c r="D50">
        <v>11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f>HLOOKUP($D50,TLC,10,TRUE)/Assumptions!$I$21</f>
        <v>983.60788693094753</v>
      </c>
      <c r="P50" s="17">
        <f>O50</f>
        <v>983.60788693094753</v>
      </c>
      <c r="Q50" s="17">
        <f t="shared" si="18"/>
        <v>983.60788693094753</v>
      </c>
      <c r="R50" s="17">
        <f t="shared" si="18"/>
        <v>983.60788693094753</v>
      </c>
      <c r="S50" s="17">
        <f t="shared" si="18"/>
        <v>983.60788693094753</v>
      </c>
      <c r="T50" s="17">
        <f t="shared" si="18"/>
        <v>983.60788693094753</v>
      </c>
      <c r="U50" s="17">
        <f t="shared" si="18"/>
        <v>983.60788693094753</v>
      </c>
      <c r="V50" s="17">
        <f t="shared" si="18"/>
        <v>983.60788693094753</v>
      </c>
      <c r="W50" s="17">
        <f t="shared" si="18"/>
        <v>983.60788693094753</v>
      </c>
      <c r="X50" s="17">
        <f t="shared" si="18"/>
        <v>983.60788693094753</v>
      </c>
    </row>
    <row r="51" spans="3:24" x14ac:dyDescent="0.25">
      <c r="D51">
        <v>12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>
        <f>HLOOKUP($D51,TLC,10,TRUE)/Assumptions!$I$21</f>
        <v>383.08191729099963</v>
      </c>
      <c r="Q51" s="17">
        <f>P51</f>
        <v>383.08191729099963</v>
      </c>
      <c r="R51" s="17">
        <f t="shared" si="18"/>
        <v>383.08191729099963</v>
      </c>
      <c r="S51" s="17">
        <f t="shared" si="18"/>
        <v>383.08191729099963</v>
      </c>
      <c r="T51" s="17">
        <f t="shared" si="18"/>
        <v>383.08191729099963</v>
      </c>
      <c r="U51" s="17">
        <f t="shared" si="18"/>
        <v>383.08191729099963</v>
      </c>
      <c r="V51" s="17">
        <f t="shared" si="18"/>
        <v>383.08191729099963</v>
      </c>
      <c r="W51" s="17">
        <f t="shared" si="18"/>
        <v>383.08191729099963</v>
      </c>
      <c r="X51" s="17">
        <f t="shared" si="18"/>
        <v>383.08191729099963</v>
      </c>
    </row>
    <row r="52" spans="3:24" x14ac:dyDescent="0.25">
      <c r="D52">
        <v>13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>
        <f>HLOOKUP($D52,TLC,10,TRUE)/Assumptions!$I$21</f>
        <v>983.60788693094753</v>
      </c>
      <c r="R52" s="17">
        <f>Q52</f>
        <v>983.60788693094753</v>
      </c>
      <c r="S52" s="17">
        <f t="shared" si="18"/>
        <v>983.60788693094753</v>
      </c>
      <c r="T52" s="17">
        <f t="shared" si="18"/>
        <v>983.60788693094753</v>
      </c>
      <c r="U52" s="17">
        <f t="shared" si="18"/>
        <v>983.60788693094753</v>
      </c>
      <c r="V52" s="17">
        <f t="shared" si="18"/>
        <v>983.60788693094753</v>
      </c>
      <c r="W52" s="17">
        <f t="shared" si="18"/>
        <v>983.60788693094753</v>
      </c>
      <c r="X52" s="17">
        <f t="shared" si="18"/>
        <v>983.60788693094753</v>
      </c>
    </row>
    <row r="53" spans="3:24" x14ac:dyDescent="0.25">
      <c r="D53">
        <v>14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>
        <f>HLOOKUP($D53,TLC,10,TRUE)/Assumptions!$I$21</f>
        <v>383.08191729099963</v>
      </c>
      <c r="S53" s="17">
        <f>R53</f>
        <v>383.08191729099963</v>
      </c>
      <c r="T53" s="17">
        <f t="shared" si="18"/>
        <v>383.08191729099963</v>
      </c>
      <c r="U53" s="17">
        <f t="shared" si="18"/>
        <v>383.08191729099963</v>
      </c>
      <c r="V53" s="17">
        <f t="shared" si="18"/>
        <v>383.08191729099963</v>
      </c>
      <c r="W53" s="17">
        <f t="shared" si="18"/>
        <v>383.08191729099963</v>
      </c>
      <c r="X53" s="17">
        <f t="shared" si="18"/>
        <v>383.08191729099963</v>
      </c>
    </row>
    <row r="54" spans="3:24" x14ac:dyDescent="0.25">
      <c r="D54">
        <v>15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f>HLOOKUP($D54,TLC,10,TRUE)/Assumptions!$I$21</f>
        <v>983.60788693094753</v>
      </c>
      <c r="T54" s="17">
        <f>S54</f>
        <v>983.60788693094753</v>
      </c>
      <c r="U54" s="17">
        <f t="shared" si="18"/>
        <v>983.60788693094753</v>
      </c>
      <c r="V54" s="17">
        <f t="shared" si="18"/>
        <v>983.60788693094753</v>
      </c>
      <c r="W54" s="17">
        <f t="shared" si="18"/>
        <v>983.60788693094753</v>
      </c>
      <c r="X54" s="17">
        <f t="shared" si="18"/>
        <v>983.60788693094753</v>
      </c>
    </row>
    <row r="55" spans="3:24" x14ac:dyDescent="0.25">
      <c r="D55">
        <v>16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f>HLOOKUP($D55,TLC,10,TRUE)/Assumptions!$I$21</f>
        <v>383.08191729099963</v>
      </c>
      <c r="U55" s="17">
        <f>T55</f>
        <v>383.08191729099963</v>
      </c>
      <c r="V55" s="17">
        <f t="shared" si="18"/>
        <v>383.08191729099963</v>
      </c>
      <c r="W55" s="17">
        <f t="shared" si="18"/>
        <v>383.08191729099963</v>
      </c>
      <c r="X55" s="17">
        <f t="shared" si="18"/>
        <v>383.08191729099963</v>
      </c>
    </row>
    <row r="56" spans="3:24" x14ac:dyDescent="0.25">
      <c r="D56">
        <v>17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>
        <f>HLOOKUP($D56,TLC,10,TRUE)/Assumptions!$I$21</f>
        <v>983.60788693094753</v>
      </c>
      <c r="V56" s="17">
        <f>U56</f>
        <v>983.60788693094753</v>
      </c>
      <c r="W56" s="17">
        <f t="shared" si="18"/>
        <v>983.60788693094753</v>
      </c>
      <c r="X56" s="17">
        <f t="shared" si="18"/>
        <v>983.60788693094753</v>
      </c>
    </row>
    <row r="57" spans="3:24" x14ac:dyDescent="0.25">
      <c r="D57">
        <v>18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>
        <f>HLOOKUP($D57,TLC,10,TRUE)/Assumptions!$I$21</f>
        <v>383.08191729099963</v>
      </c>
      <c r="W57" s="17">
        <f>V57</f>
        <v>383.08191729099963</v>
      </c>
      <c r="X57" s="17">
        <f t="shared" si="18"/>
        <v>383.08191729099963</v>
      </c>
    </row>
    <row r="58" spans="3:24" x14ac:dyDescent="0.25">
      <c r="D58">
        <v>19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>
        <f>HLOOKUP($D58,TLC,10,TRUE)/Assumptions!$I$21</f>
        <v>983.60788693094753</v>
      </c>
      <c r="X58" s="17">
        <f>W58</f>
        <v>983.60788693094753</v>
      </c>
    </row>
    <row r="59" spans="3:24" x14ac:dyDescent="0.25">
      <c r="D59">
        <v>20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>
        <f>HLOOKUP($D59,TLC,10,TRUE)/Assumptions!$I$21</f>
        <v>383.08191729099963</v>
      </c>
    </row>
    <row r="60" spans="3:24" x14ac:dyDescent="0.25"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3:24" x14ac:dyDescent="0.25"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3:24" x14ac:dyDescent="0.25">
      <c r="C62" s="15" t="s">
        <v>68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3:24" x14ac:dyDescent="0.25">
      <c r="C63" s="15" t="s">
        <v>67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3:24" x14ac:dyDescent="0.25">
      <c r="D64">
        <v>1</v>
      </c>
      <c r="E64" s="17">
        <f>E$17*Assumptions!$F$166/Assumptions!$I$21</f>
        <v>348.90970446885029</v>
      </c>
      <c r="F64" s="17">
        <f>E64</f>
        <v>348.90970446885029</v>
      </c>
      <c r="G64" s="17">
        <f t="shared" ref="G64:V68" si="19">F64</f>
        <v>348.90970446885029</v>
      </c>
      <c r="H64" s="17">
        <f t="shared" si="19"/>
        <v>348.90970446885029</v>
      </c>
      <c r="I64" s="17">
        <f>H64</f>
        <v>348.90970446885029</v>
      </c>
      <c r="J64" s="17">
        <f t="shared" si="19"/>
        <v>348.90970446885029</v>
      </c>
      <c r="K64" s="17">
        <f t="shared" si="19"/>
        <v>348.90970446885029</v>
      </c>
      <c r="L64" s="17">
        <f t="shared" si="19"/>
        <v>348.90970446885029</v>
      </c>
      <c r="M64" s="17">
        <f t="shared" si="19"/>
        <v>348.90970446885029</v>
      </c>
      <c r="N64" s="17">
        <f t="shared" si="19"/>
        <v>348.90970446885029</v>
      </c>
      <c r="O64" s="17">
        <f t="shared" si="19"/>
        <v>348.90970446885029</v>
      </c>
      <c r="P64" s="17">
        <f t="shared" si="19"/>
        <v>348.90970446885029</v>
      </c>
      <c r="Q64" s="17">
        <f t="shared" si="19"/>
        <v>348.90970446885029</v>
      </c>
      <c r="R64" s="17">
        <f t="shared" si="19"/>
        <v>348.90970446885029</v>
      </c>
      <c r="S64" s="17">
        <f t="shared" si="19"/>
        <v>348.90970446885029</v>
      </c>
      <c r="T64" s="17">
        <f t="shared" si="19"/>
        <v>348.90970446885029</v>
      </c>
      <c r="U64" s="17"/>
      <c r="V64" s="17"/>
      <c r="W64" s="17"/>
    </row>
    <row r="65" spans="4:24" x14ac:dyDescent="0.25">
      <c r="D65">
        <v>2</v>
      </c>
      <c r="E65" s="17"/>
      <c r="F65" s="17">
        <f>F$17*Assumptions!$F$166/Assumptions!$I$21</f>
        <v>500.60957597704601</v>
      </c>
      <c r="G65" s="17">
        <f>F65</f>
        <v>500.60957597704601</v>
      </c>
      <c r="H65" s="17">
        <f t="shared" si="19"/>
        <v>500.60957597704601</v>
      </c>
      <c r="I65" s="17">
        <f t="shared" si="19"/>
        <v>500.60957597704601</v>
      </c>
      <c r="J65" s="17">
        <f t="shared" si="19"/>
        <v>500.60957597704601</v>
      </c>
      <c r="K65" s="17">
        <f t="shared" si="19"/>
        <v>500.60957597704601</v>
      </c>
      <c r="L65" s="17">
        <f t="shared" si="19"/>
        <v>500.60957597704601</v>
      </c>
      <c r="M65" s="17">
        <f t="shared" si="19"/>
        <v>500.60957597704601</v>
      </c>
      <c r="N65" s="17">
        <f t="shared" si="19"/>
        <v>500.60957597704601</v>
      </c>
      <c r="O65" s="17">
        <f t="shared" si="19"/>
        <v>500.60957597704601</v>
      </c>
      <c r="P65" s="17">
        <f t="shared" si="19"/>
        <v>500.60957597704601</v>
      </c>
      <c r="Q65" s="17">
        <f t="shared" si="19"/>
        <v>500.60957597704601</v>
      </c>
      <c r="R65" s="17">
        <f t="shared" si="19"/>
        <v>500.60957597704601</v>
      </c>
      <c r="S65" s="17">
        <f t="shared" si="19"/>
        <v>500.60957597704601</v>
      </c>
      <c r="T65" s="17">
        <f t="shared" si="19"/>
        <v>500.60957597704601</v>
      </c>
      <c r="U65" s="17">
        <f t="shared" si="19"/>
        <v>500.60957597704601</v>
      </c>
      <c r="V65" s="17"/>
      <c r="W65" s="17"/>
    </row>
    <row r="66" spans="4:24" x14ac:dyDescent="0.25">
      <c r="D66">
        <v>3</v>
      </c>
      <c r="E66" s="17"/>
      <c r="F66" s="17"/>
      <c r="G66" s="17">
        <f>G$17*Assumptions!$F$166/Assumptions!$I$21</f>
        <v>0</v>
      </c>
      <c r="H66" s="17">
        <f>G66</f>
        <v>0</v>
      </c>
      <c r="I66" s="17">
        <f t="shared" si="19"/>
        <v>0</v>
      </c>
      <c r="J66" s="17">
        <f t="shared" si="19"/>
        <v>0</v>
      </c>
      <c r="K66" s="17">
        <f t="shared" si="19"/>
        <v>0</v>
      </c>
      <c r="L66" s="17">
        <f t="shared" si="19"/>
        <v>0</v>
      </c>
      <c r="M66" s="17">
        <f t="shared" si="19"/>
        <v>0</v>
      </c>
      <c r="N66" s="17">
        <f t="shared" si="19"/>
        <v>0</v>
      </c>
      <c r="O66" s="17">
        <f t="shared" si="19"/>
        <v>0</v>
      </c>
      <c r="P66" s="17">
        <f t="shared" si="19"/>
        <v>0</v>
      </c>
      <c r="Q66" s="17">
        <f t="shared" si="19"/>
        <v>0</v>
      </c>
      <c r="R66" s="17">
        <f t="shared" si="19"/>
        <v>0</v>
      </c>
      <c r="S66" s="17">
        <f t="shared" si="19"/>
        <v>0</v>
      </c>
      <c r="T66" s="17">
        <f t="shared" si="19"/>
        <v>0</v>
      </c>
      <c r="U66" s="17">
        <f t="shared" si="19"/>
        <v>0</v>
      </c>
      <c r="V66" s="17">
        <f t="shared" si="19"/>
        <v>0</v>
      </c>
      <c r="W66" s="17"/>
    </row>
    <row r="67" spans="4:24" x14ac:dyDescent="0.25">
      <c r="D67">
        <v>4</v>
      </c>
      <c r="E67" s="17"/>
      <c r="F67" s="17"/>
      <c r="G67" s="17"/>
      <c r="H67" s="17">
        <f>H$17*Assumptions!$F$166/Assumptions!$I$21</f>
        <v>0</v>
      </c>
      <c r="I67" s="17">
        <f>H67</f>
        <v>0</v>
      </c>
      <c r="J67" s="17">
        <f t="shared" si="19"/>
        <v>0</v>
      </c>
      <c r="K67" s="17">
        <f t="shared" si="19"/>
        <v>0</v>
      </c>
      <c r="L67" s="17">
        <f t="shared" si="19"/>
        <v>0</v>
      </c>
      <c r="M67" s="17">
        <f t="shared" si="19"/>
        <v>0</v>
      </c>
      <c r="N67" s="17">
        <f t="shared" si="19"/>
        <v>0</v>
      </c>
      <c r="O67" s="17">
        <f t="shared" si="19"/>
        <v>0</v>
      </c>
      <c r="P67" s="17">
        <f t="shared" si="19"/>
        <v>0</v>
      </c>
      <c r="Q67" s="17">
        <f t="shared" si="19"/>
        <v>0</v>
      </c>
      <c r="R67" s="17">
        <f t="shared" si="19"/>
        <v>0</v>
      </c>
      <c r="S67" s="17">
        <f t="shared" si="19"/>
        <v>0</v>
      </c>
      <c r="T67" s="17">
        <f t="shared" si="19"/>
        <v>0</v>
      </c>
      <c r="U67" s="17">
        <f t="shared" si="19"/>
        <v>0</v>
      </c>
      <c r="V67" s="17">
        <f t="shared" si="19"/>
        <v>0</v>
      </c>
      <c r="W67" s="17">
        <f t="shared" ref="L67:X77" si="20">V67</f>
        <v>0</v>
      </c>
    </row>
    <row r="68" spans="4:24" x14ac:dyDescent="0.25">
      <c r="D68">
        <v>5</v>
      </c>
      <c r="E68" s="17"/>
      <c r="F68" s="17"/>
      <c r="G68" s="17"/>
      <c r="H68" s="17"/>
      <c r="I68" s="17">
        <f>I$17*Assumptions!$F$166/Assumptions!$I$21</f>
        <v>250.304787988523</v>
      </c>
      <c r="J68" s="17">
        <f>I68</f>
        <v>250.304787988523</v>
      </c>
      <c r="K68" s="17">
        <f t="shared" si="19"/>
        <v>250.304787988523</v>
      </c>
      <c r="L68" s="17">
        <f t="shared" si="19"/>
        <v>250.304787988523</v>
      </c>
      <c r="M68" s="17">
        <f t="shared" si="19"/>
        <v>250.304787988523</v>
      </c>
      <c r="N68" s="17">
        <f t="shared" si="19"/>
        <v>250.304787988523</v>
      </c>
      <c r="O68" s="17">
        <f t="shared" si="19"/>
        <v>250.304787988523</v>
      </c>
      <c r="P68" s="17">
        <f t="shared" si="19"/>
        <v>250.304787988523</v>
      </c>
      <c r="Q68" s="17">
        <f t="shared" si="19"/>
        <v>250.304787988523</v>
      </c>
      <c r="R68" s="17">
        <f t="shared" si="19"/>
        <v>250.304787988523</v>
      </c>
      <c r="S68" s="17">
        <f t="shared" si="19"/>
        <v>250.304787988523</v>
      </c>
      <c r="T68" s="17">
        <f t="shared" si="19"/>
        <v>250.304787988523</v>
      </c>
      <c r="U68" s="17">
        <f t="shared" si="19"/>
        <v>250.304787988523</v>
      </c>
      <c r="V68" s="17">
        <f t="shared" si="19"/>
        <v>250.304787988523</v>
      </c>
      <c r="W68" s="17">
        <f t="shared" si="20"/>
        <v>250.304787988523</v>
      </c>
      <c r="X68" s="17">
        <f t="shared" si="20"/>
        <v>250.304787988523</v>
      </c>
    </row>
    <row r="69" spans="4:24" x14ac:dyDescent="0.25">
      <c r="D69">
        <v>6</v>
      </c>
      <c r="E69" s="17"/>
      <c r="F69" s="17"/>
      <c r="G69" s="17"/>
      <c r="H69" s="17"/>
      <c r="I69" s="17"/>
      <c r="J69" s="17">
        <f>J$17*Assumptions!$F$166/Assumptions!$I$21</f>
        <v>250.304787988523</v>
      </c>
      <c r="K69" s="17">
        <f>J69</f>
        <v>250.304787988523</v>
      </c>
      <c r="L69" s="17">
        <f t="shared" si="20"/>
        <v>250.304787988523</v>
      </c>
      <c r="M69" s="17">
        <f t="shared" si="20"/>
        <v>250.304787988523</v>
      </c>
      <c r="N69" s="17">
        <f t="shared" si="20"/>
        <v>250.304787988523</v>
      </c>
      <c r="O69" s="17">
        <f t="shared" si="20"/>
        <v>250.304787988523</v>
      </c>
      <c r="P69" s="17">
        <f t="shared" si="20"/>
        <v>250.304787988523</v>
      </c>
      <c r="Q69" s="17">
        <f t="shared" si="20"/>
        <v>250.304787988523</v>
      </c>
      <c r="R69" s="17">
        <f t="shared" si="20"/>
        <v>250.304787988523</v>
      </c>
      <c r="S69" s="17">
        <f t="shared" si="20"/>
        <v>250.304787988523</v>
      </c>
      <c r="T69" s="17">
        <f t="shared" si="20"/>
        <v>250.304787988523</v>
      </c>
      <c r="U69" s="17">
        <f t="shared" si="20"/>
        <v>250.304787988523</v>
      </c>
      <c r="V69" s="17">
        <f t="shared" si="20"/>
        <v>250.304787988523</v>
      </c>
      <c r="W69" s="17">
        <f t="shared" si="20"/>
        <v>250.304787988523</v>
      </c>
      <c r="X69" s="17">
        <f t="shared" si="20"/>
        <v>250.304787988523</v>
      </c>
    </row>
    <row r="70" spans="4:24" x14ac:dyDescent="0.25">
      <c r="D70">
        <v>7</v>
      </c>
      <c r="E70" s="17"/>
      <c r="F70" s="17"/>
      <c r="G70" s="17"/>
      <c r="H70" s="17"/>
      <c r="I70" s="17"/>
      <c r="J70" s="17"/>
      <c r="K70" s="17">
        <f>K$17*Assumptions!$F$166/Assumptions!$I$21</f>
        <v>250.304787988523</v>
      </c>
      <c r="L70" s="17">
        <f>K70</f>
        <v>250.304787988523</v>
      </c>
      <c r="M70" s="17">
        <f t="shared" si="20"/>
        <v>250.304787988523</v>
      </c>
      <c r="N70" s="17">
        <f t="shared" si="20"/>
        <v>250.304787988523</v>
      </c>
      <c r="O70" s="17">
        <f t="shared" si="20"/>
        <v>250.304787988523</v>
      </c>
      <c r="P70" s="17">
        <f t="shared" si="20"/>
        <v>250.304787988523</v>
      </c>
      <c r="Q70" s="17">
        <f t="shared" si="20"/>
        <v>250.304787988523</v>
      </c>
      <c r="R70" s="17">
        <f t="shared" si="20"/>
        <v>250.304787988523</v>
      </c>
      <c r="S70" s="17">
        <f t="shared" si="20"/>
        <v>250.304787988523</v>
      </c>
      <c r="T70" s="17">
        <f t="shared" si="20"/>
        <v>250.304787988523</v>
      </c>
      <c r="U70" s="17">
        <f t="shared" si="20"/>
        <v>250.304787988523</v>
      </c>
      <c r="V70" s="17">
        <f t="shared" si="20"/>
        <v>250.304787988523</v>
      </c>
      <c r="W70" s="17">
        <f t="shared" si="20"/>
        <v>250.304787988523</v>
      </c>
      <c r="X70" s="17">
        <f t="shared" si="20"/>
        <v>250.304787988523</v>
      </c>
    </row>
    <row r="71" spans="4:24" x14ac:dyDescent="0.25">
      <c r="D71">
        <v>8</v>
      </c>
      <c r="E71" s="17"/>
      <c r="F71" s="17"/>
      <c r="G71" s="17"/>
      <c r="H71" s="17"/>
      <c r="I71" s="17"/>
      <c r="J71" s="17"/>
      <c r="K71" s="17"/>
      <c r="L71" s="17">
        <f>L$17*Assumptions!$F$166/Assumptions!$I$21</f>
        <v>250.304787988523</v>
      </c>
      <c r="M71" s="17">
        <f>L71</f>
        <v>250.304787988523</v>
      </c>
      <c r="N71" s="17">
        <f t="shared" si="20"/>
        <v>250.304787988523</v>
      </c>
      <c r="O71" s="17">
        <f t="shared" si="20"/>
        <v>250.304787988523</v>
      </c>
      <c r="P71" s="17">
        <f t="shared" si="20"/>
        <v>250.304787988523</v>
      </c>
      <c r="Q71" s="17">
        <f t="shared" si="20"/>
        <v>250.304787988523</v>
      </c>
      <c r="R71" s="17">
        <f t="shared" si="20"/>
        <v>250.304787988523</v>
      </c>
      <c r="S71" s="17">
        <f t="shared" si="20"/>
        <v>250.304787988523</v>
      </c>
      <c r="T71" s="17">
        <f t="shared" si="20"/>
        <v>250.304787988523</v>
      </c>
      <c r="U71" s="17">
        <f t="shared" si="20"/>
        <v>250.304787988523</v>
      </c>
      <c r="V71" s="17">
        <f t="shared" si="20"/>
        <v>250.304787988523</v>
      </c>
      <c r="W71" s="17">
        <f t="shared" si="20"/>
        <v>250.304787988523</v>
      </c>
      <c r="X71" s="17">
        <f t="shared" si="20"/>
        <v>250.304787988523</v>
      </c>
    </row>
    <row r="72" spans="4:24" x14ac:dyDescent="0.25">
      <c r="D72">
        <v>9</v>
      </c>
      <c r="E72" s="17"/>
      <c r="F72" s="17"/>
      <c r="G72" s="17"/>
      <c r="H72" s="17"/>
      <c r="I72" s="17"/>
      <c r="J72" s="17"/>
      <c r="K72" s="17"/>
      <c r="L72" s="17"/>
      <c r="M72" s="17">
        <f>M$17*Assumptions!$F$166/Assumptions!$I$21</f>
        <v>409.58965307212856</v>
      </c>
      <c r="N72" s="17">
        <f>M72</f>
        <v>409.58965307212856</v>
      </c>
      <c r="O72" s="17">
        <f t="shared" si="20"/>
        <v>409.58965307212856</v>
      </c>
      <c r="P72" s="17">
        <f t="shared" si="20"/>
        <v>409.58965307212856</v>
      </c>
      <c r="Q72" s="17">
        <f t="shared" si="20"/>
        <v>409.58965307212856</v>
      </c>
      <c r="R72" s="17">
        <f t="shared" si="20"/>
        <v>409.58965307212856</v>
      </c>
      <c r="S72" s="17">
        <f t="shared" si="20"/>
        <v>409.58965307212856</v>
      </c>
      <c r="T72" s="17">
        <f t="shared" si="20"/>
        <v>409.58965307212856</v>
      </c>
      <c r="U72" s="17">
        <f t="shared" si="20"/>
        <v>409.58965307212856</v>
      </c>
      <c r="V72" s="17">
        <f t="shared" si="20"/>
        <v>409.58965307212856</v>
      </c>
      <c r="W72" s="17">
        <f t="shared" si="20"/>
        <v>409.58965307212856</v>
      </c>
      <c r="X72" s="17">
        <f t="shared" si="20"/>
        <v>409.58965307212856</v>
      </c>
    </row>
    <row r="73" spans="4:24" x14ac:dyDescent="0.25">
      <c r="D73">
        <v>10</v>
      </c>
      <c r="E73" s="17"/>
      <c r="F73" s="17"/>
      <c r="G73" s="17"/>
      <c r="H73" s="17"/>
      <c r="I73" s="17"/>
      <c r="J73" s="17"/>
      <c r="K73" s="17"/>
      <c r="L73" s="17"/>
      <c r="M73" s="17"/>
      <c r="N73" s="17">
        <f>N$17*Assumptions!$F$166/Assumptions!$I$21</f>
        <v>409.58965307212856</v>
      </c>
      <c r="O73" s="17">
        <f>N73</f>
        <v>409.58965307212856</v>
      </c>
      <c r="P73" s="17">
        <f t="shared" si="20"/>
        <v>409.58965307212856</v>
      </c>
      <c r="Q73" s="17">
        <f t="shared" si="20"/>
        <v>409.58965307212856</v>
      </c>
      <c r="R73" s="17">
        <f t="shared" si="20"/>
        <v>409.58965307212856</v>
      </c>
      <c r="S73" s="17">
        <f t="shared" si="20"/>
        <v>409.58965307212856</v>
      </c>
      <c r="T73" s="17">
        <f t="shared" si="20"/>
        <v>409.58965307212856</v>
      </c>
      <c r="U73" s="17">
        <f t="shared" si="20"/>
        <v>409.58965307212856</v>
      </c>
      <c r="V73" s="17">
        <f t="shared" si="20"/>
        <v>409.58965307212856</v>
      </c>
      <c r="W73" s="17">
        <f t="shared" si="20"/>
        <v>409.58965307212856</v>
      </c>
      <c r="X73" s="17">
        <f t="shared" si="20"/>
        <v>409.58965307212856</v>
      </c>
    </row>
    <row r="74" spans="4:24" x14ac:dyDescent="0.25">
      <c r="D74">
        <v>11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>
        <f>O$17*Assumptions!$F$166/Assumptions!$I$21</f>
        <v>409.58965307212856</v>
      </c>
      <c r="P74" s="17">
        <f>O74</f>
        <v>409.58965307212856</v>
      </c>
      <c r="Q74" s="17">
        <f t="shared" si="20"/>
        <v>409.58965307212856</v>
      </c>
      <c r="R74" s="17">
        <f t="shared" si="20"/>
        <v>409.58965307212856</v>
      </c>
      <c r="S74" s="17">
        <f t="shared" si="20"/>
        <v>409.58965307212856</v>
      </c>
      <c r="T74" s="17">
        <f t="shared" si="20"/>
        <v>409.58965307212856</v>
      </c>
      <c r="U74" s="17">
        <f t="shared" si="20"/>
        <v>409.58965307212856</v>
      </c>
      <c r="V74" s="17">
        <f t="shared" si="20"/>
        <v>409.58965307212856</v>
      </c>
      <c r="W74" s="17">
        <f t="shared" si="20"/>
        <v>409.58965307212856</v>
      </c>
      <c r="X74" s="17">
        <f t="shared" si="20"/>
        <v>409.58965307212856</v>
      </c>
    </row>
    <row r="75" spans="4:24" x14ac:dyDescent="0.25">
      <c r="D75">
        <v>12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>
        <f>P$17*Assumptions!$F$166/Assumptions!$I$21</f>
        <v>409.58965307212856</v>
      </c>
      <c r="Q75" s="17">
        <f>P75</f>
        <v>409.58965307212856</v>
      </c>
      <c r="R75" s="17">
        <f t="shared" si="20"/>
        <v>409.58965307212856</v>
      </c>
      <c r="S75" s="17">
        <f t="shared" si="20"/>
        <v>409.58965307212856</v>
      </c>
      <c r="T75" s="17">
        <f t="shared" si="20"/>
        <v>409.58965307212856</v>
      </c>
      <c r="U75" s="17">
        <f t="shared" si="20"/>
        <v>409.58965307212856</v>
      </c>
      <c r="V75" s="17">
        <f t="shared" si="20"/>
        <v>409.58965307212856</v>
      </c>
      <c r="W75" s="17">
        <f t="shared" si="20"/>
        <v>409.58965307212856</v>
      </c>
      <c r="X75" s="17">
        <f t="shared" si="20"/>
        <v>409.58965307212856</v>
      </c>
    </row>
    <row r="76" spans="4:24" x14ac:dyDescent="0.25">
      <c r="D76">
        <v>13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>
        <f>Q$17*Assumptions!$F$166/Assumptions!$I$21</f>
        <v>910.19922904917462</v>
      </c>
      <c r="R76" s="17">
        <f>Q76</f>
        <v>910.19922904917462</v>
      </c>
      <c r="S76" s="17">
        <f t="shared" si="20"/>
        <v>910.19922904917462</v>
      </c>
      <c r="T76" s="17">
        <f t="shared" si="20"/>
        <v>910.19922904917462</v>
      </c>
      <c r="U76" s="17">
        <f t="shared" si="20"/>
        <v>910.19922904917462</v>
      </c>
      <c r="V76" s="17">
        <f t="shared" si="20"/>
        <v>910.19922904917462</v>
      </c>
      <c r="W76" s="17">
        <f t="shared" si="20"/>
        <v>910.19922904917462</v>
      </c>
      <c r="X76" s="17">
        <f t="shared" si="20"/>
        <v>910.19922904917462</v>
      </c>
    </row>
    <row r="77" spans="4:24" x14ac:dyDescent="0.25">
      <c r="D77">
        <v>14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>
        <f>R$17*Assumptions!$F$166/Assumptions!$I$21</f>
        <v>910.19922904917462</v>
      </c>
      <c r="S77" s="17">
        <f t="shared" si="20"/>
        <v>910.19922904917462</v>
      </c>
      <c r="T77" s="17">
        <f t="shared" si="20"/>
        <v>910.19922904917462</v>
      </c>
      <c r="U77" s="17">
        <f t="shared" si="20"/>
        <v>910.19922904917462</v>
      </c>
      <c r="V77" s="17">
        <f t="shared" si="20"/>
        <v>910.19922904917462</v>
      </c>
      <c r="W77" s="17">
        <f t="shared" si="20"/>
        <v>910.19922904917462</v>
      </c>
      <c r="X77" s="17">
        <f t="shared" si="20"/>
        <v>910.19922904917462</v>
      </c>
    </row>
    <row r="78" spans="4:24" x14ac:dyDescent="0.25">
      <c r="D78">
        <v>15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>
        <f>S$17*Assumptions!$F$166/Assumptions!$I$21</f>
        <v>910.19922904917462</v>
      </c>
      <c r="T78" s="17">
        <f>S78</f>
        <v>910.19922904917462</v>
      </c>
      <c r="U78" s="17">
        <f>T78</f>
        <v>910.19922904917462</v>
      </c>
      <c r="V78" s="17">
        <f>U78</f>
        <v>910.19922904917462</v>
      </c>
      <c r="W78" s="17">
        <f>V78</f>
        <v>910.19922904917462</v>
      </c>
      <c r="X78" s="17">
        <f>W78</f>
        <v>910.19922904917462</v>
      </c>
    </row>
    <row r="79" spans="4:24" x14ac:dyDescent="0.25">
      <c r="D79">
        <v>16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>
        <f>T$17*Assumptions!$F$166/Assumptions!$I$21</f>
        <v>910.19922904917462</v>
      </c>
      <c r="U79" s="17">
        <f>T79</f>
        <v>910.19922904917462</v>
      </c>
      <c r="V79" s="17">
        <f>U79</f>
        <v>910.19922904917462</v>
      </c>
      <c r="W79" s="17">
        <f>V79</f>
        <v>910.19922904917462</v>
      </c>
      <c r="X79" s="17">
        <f>W79</f>
        <v>910.19922904917462</v>
      </c>
    </row>
    <row r="80" spans="4:24" x14ac:dyDescent="0.25">
      <c r="D80">
        <v>17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>
        <f>U$17*Assumptions!$F$166/Assumptions!$I$21</f>
        <v>1820.3984580983492</v>
      </c>
      <c r="V80" s="17">
        <f>U80</f>
        <v>1820.3984580983492</v>
      </c>
      <c r="W80" s="17">
        <f>V80</f>
        <v>1820.3984580983492</v>
      </c>
      <c r="X80" s="17">
        <f>W80</f>
        <v>1820.3984580983492</v>
      </c>
    </row>
    <row r="81" spans="4:24" x14ac:dyDescent="0.25">
      <c r="D81">
        <v>18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>
        <f>V$17*Assumptions!$F$166/Assumptions!$I$21</f>
        <v>1820.3984580983492</v>
      </c>
      <c r="W81" s="17">
        <f>V81</f>
        <v>1820.3984580983492</v>
      </c>
      <c r="X81" s="17">
        <f>W81</f>
        <v>1820.3984580983492</v>
      </c>
    </row>
    <row r="82" spans="4:24" x14ac:dyDescent="0.25">
      <c r="D82">
        <v>19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>
        <f>W$17*Assumptions!$F$166/Assumptions!$I$21</f>
        <v>1820.3984580983492</v>
      </c>
      <c r="X82" s="17">
        <f>W82</f>
        <v>1820.3984580983492</v>
      </c>
    </row>
    <row r="83" spans="4:24" x14ac:dyDescent="0.25">
      <c r="D83">
        <v>20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>
        <f>X$13/Assumptions!$I$21</f>
        <v>383.08191729099963</v>
      </c>
    </row>
    <row r="84" spans="4:24" x14ac:dyDescent="0.25"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4" x14ac:dyDescent="0.25"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4" x14ac:dyDescent="0.25"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4" x14ac:dyDescent="0.25"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4" x14ac:dyDescent="0.25"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4" x14ac:dyDescent="0.25"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4" x14ac:dyDescent="0.25"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4" x14ac:dyDescent="0.25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4" x14ac:dyDescent="0.25"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4" x14ac:dyDescent="0.25"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4" x14ac:dyDescent="0.25"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4" x14ac:dyDescent="0.25"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4" x14ac:dyDescent="0.25"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5:23" x14ac:dyDescent="0.25"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5:23" x14ac:dyDescent="0.25"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5:23" x14ac:dyDescent="0.25"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5:23" x14ac:dyDescent="0.25"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5:23" x14ac:dyDescent="0.25"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5:23" x14ac:dyDescent="0.25"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5:23" x14ac:dyDescent="0.25"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5:23" x14ac:dyDescent="0.25"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5:23" x14ac:dyDescent="0.25"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5:23" x14ac:dyDescent="0.25"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5:23" x14ac:dyDescent="0.25"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5:23" x14ac:dyDescent="0.25"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5:23" x14ac:dyDescent="0.25"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5:23" x14ac:dyDescent="0.25"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5:23" x14ac:dyDescent="0.25"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</sheetData>
  <mergeCells count="5">
    <mergeCell ref="E2:H2"/>
    <mergeCell ref="I2:L2"/>
    <mergeCell ref="M2:P2"/>
    <mergeCell ref="Q2:T2"/>
    <mergeCell ref="U2:X2"/>
  </mergeCells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Macro Site </vt:lpstr>
      <vt:lpstr>Macro Light</vt:lpstr>
      <vt:lpstr>Pico Plus Site</vt:lpstr>
      <vt:lpstr>Pico Site</vt:lpstr>
      <vt:lpstr>Assumptions</vt:lpstr>
      <vt:lpstr>Macro -Time Line</vt:lpstr>
      <vt:lpstr>Macro Light -Time Line</vt:lpstr>
      <vt:lpstr>ML</vt:lpstr>
      <vt:lpstr>Step</vt:lpstr>
      <vt:lpstr>TLC</vt:lpstr>
    </vt:vector>
  </TitlesOfParts>
  <Company>Lecoma International,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Stanley</dc:creator>
  <cp:lastModifiedBy>Nick</cp:lastModifiedBy>
  <cp:lastPrinted>2017-01-10T19:25:44Z</cp:lastPrinted>
  <dcterms:created xsi:type="dcterms:W3CDTF">2015-04-30T13:04:33Z</dcterms:created>
  <dcterms:modified xsi:type="dcterms:W3CDTF">2019-06-20T18:46:45Z</dcterms:modified>
</cp:coreProperties>
</file>