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pygl\OneDrive\Documents\LocaLoop\Profit Calculator\"/>
    </mc:Choice>
  </mc:AlternateContent>
  <xr:revisionPtr revIDLastSave="0" documentId="8_{1255A4AF-52D1-4339-B179-D9F8136BEA29}" xr6:coauthVersionLast="43" xr6:coauthVersionMax="43" xr10:uidLastSave="{00000000-0000-0000-0000-000000000000}"/>
  <bookViews>
    <workbookView xWindow="-110" yWindow="-110" windowWidth="19420" windowHeight="10420" tabRatio="717" xr2:uid="{00000000-000D-0000-FFFF-FFFF00000000}"/>
  </bookViews>
  <sheets>
    <sheet name="Macro Light" sheetId="9" r:id="rId1"/>
    <sheet name="Assumptions" sheetId="2" state="hidden" r:id="rId2"/>
    <sheet name="Macro Light -Time Line" sheetId="10" state="hidden" r:id="rId3"/>
  </sheets>
  <definedNames>
    <definedName name="ML">Assumptions!$K$99:$X$118</definedName>
    <definedName name="Step">Assumptions!$J$122:$O$181</definedName>
    <definedName name="TLC">'Macro Light -Time Line'!$E$4:$X$13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9" l="1"/>
  <c r="E3" i="9"/>
  <c r="F3" i="9"/>
  <c r="G3" i="9"/>
  <c r="C3" i="9"/>
  <c r="F166" i="2"/>
  <c r="F38" i="2"/>
  <c r="G38" i="2"/>
  <c r="F39" i="2"/>
  <c r="G39" i="2"/>
  <c r="F40" i="2"/>
  <c r="G40" i="2"/>
  <c r="F43" i="2"/>
  <c r="G43" i="2"/>
  <c r="D48" i="2"/>
  <c r="E48" i="2"/>
  <c r="F48" i="2" s="1"/>
  <c r="D49" i="2"/>
  <c r="E49" i="2"/>
  <c r="F49" i="2"/>
  <c r="D50" i="2"/>
  <c r="E50" i="2"/>
  <c r="F50" i="2" s="1"/>
  <c r="D53" i="2"/>
  <c r="F53" i="2"/>
  <c r="E56" i="2"/>
  <c r="H40" i="2" s="1"/>
  <c r="G44" i="2" l="1"/>
  <c r="H38" i="2"/>
  <c r="F44" i="2"/>
  <c r="F54" i="2"/>
  <c r="H39" i="2"/>
  <c r="F56" i="2" l="1"/>
  <c r="G57" i="2" s="1"/>
  <c r="E57" i="2" s="1"/>
  <c r="G65" i="2" l="1"/>
  <c r="M13" i="2" l="1"/>
  <c r="M14" i="2"/>
  <c r="M15" i="2"/>
  <c r="M12" i="2"/>
  <c r="E12" i="10" l="1"/>
  <c r="Q118" i="2"/>
  <c r="O100" i="2"/>
  <c r="M125" i="2"/>
  <c r="L126" i="2" s="1"/>
  <c r="M124" i="2"/>
  <c r="L125" i="2" s="1"/>
  <c r="N123" i="2"/>
  <c r="M123" i="2"/>
  <c r="L123" i="2"/>
  <c r="L122" i="2"/>
  <c r="N122" i="2"/>
  <c r="M122" i="2"/>
  <c r="K125" i="2"/>
  <c r="K126" i="2" s="1"/>
  <c r="K127" i="2"/>
  <c r="K128" i="2" s="1"/>
  <c r="K129" i="2"/>
  <c r="K130" i="2" s="1"/>
  <c r="K131" i="2"/>
  <c r="K132" i="2" s="1"/>
  <c r="K133" i="2"/>
  <c r="K134" i="2" s="1"/>
  <c r="K135" i="2"/>
  <c r="K136" i="2" s="1"/>
  <c r="K137" i="2"/>
  <c r="K138" i="2" s="1"/>
  <c r="K139" i="2"/>
  <c r="K140" i="2" s="1"/>
  <c r="K141" i="2"/>
  <c r="K142" i="2" s="1"/>
  <c r="K143" i="2"/>
  <c r="K144" i="2" s="1"/>
  <c r="K145" i="2"/>
  <c r="K146" i="2" s="1"/>
  <c r="K147" i="2"/>
  <c r="K148" i="2" s="1"/>
  <c r="K149" i="2"/>
  <c r="K150" i="2" s="1"/>
  <c r="K151" i="2"/>
  <c r="K152" i="2" s="1"/>
  <c r="K153" i="2"/>
  <c r="K154" i="2" s="1"/>
  <c r="K155" i="2"/>
  <c r="K156" i="2" s="1"/>
  <c r="K157" i="2"/>
  <c r="K158" i="2" s="1"/>
  <c r="K159" i="2"/>
  <c r="K160" i="2" s="1"/>
  <c r="K123" i="2"/>
  <c r="K124" i="2" s="1"/>
  <c r="S99" i="2" l="1"/>
  <c r="M126" i="2"/>
  <c r="L127" i="2" s="1"/>
  <c r="N125" i="2"/>
  <c r="M127" i="2"/>
  <c r="L128" i="2" s="1"/>
  <c r="O122" i="2"/>
  <c r="N124" i="2"/>
  <c r="M118" i="2"/>
  <c r="M114" i="2"/>
  <c r="M110" i="2"/>
  <c r="M106" i="2"/>
  <c r="M102" i="2"/>
  <c r="N126" i="2" l="1"/>
  <c r="O123" i="2"/>
  <c r="O124" i="2" s="1"/>
  <c r="O125" i="2" s="1"/>
  <c r="V99" i="2"/>
  <c r="W99" i="2" s="1"/>
  <c r="E13" i="10" s="1"/>
  <c r="M129" i="2"/>
  <c r="L130" i="2" s="1"/>
  <c r="M128" i="2"/>
  <c r="L129" i="2" s="1"/>
  <c r="N127" i="2"/>
  <c r="E83" i="2"/>
  <c r="F83" i="2" s="1"/>
  <c r="G86" i="2" s="1"/>
  <c r="E76" i="2"/>
  <c r="O126" i="2" l="1"/>
  <c r="O127" i="2"/>
  <c r="N128" i="2"/>
  <c r="O128" i="2" s="1"/>
  <c r="O129" i="2" s="1"/>
  <c r="M130" i="2"/>
  <c r="L131" i="2" s="1"/>
  <c r="N129" i="2"/>
  <c r="M131" i="2"/>
  <c r="L132" i="2" s="1"/>
  <c r="H12" i="9"/>
  <c r="E75" i="2"/>
  <c r="F65" i="2"/>
  <c r="N130" i="2" l="1"/>
  <c r="O130" i="2" s="1"/>
  <c r="M132" i="2"/>
  <c r="L133" i="2" s="1"/>
  <c r="N131" i="2"/>
  <c r="M133" i="2"/>
  <c r="L134" i="2" s="1"/>
  <c r="M99" i="2"/>
  <c r="I11" i="2"/>
  <c r="D24" i="10"/>
  <c r="I14" i="2"/>
  <c r="E124" i="2"/>
  <c r="F124" i="2" s="1"/>
  <c r="E125" i="2"/>
  <c r="F125" i="2" s="1"/>
  <c r="E126" i="2"/>
  <c r="F126" i="2" s="1"/>
  <c r="E129" i="2"/>
  <c r="F129" i="2" s="1"/>
  <c r="E136" i="2"/>
  <c r="F136" i="2" s="1"/>
  <c r="E137" i="2"/>
  <c r="F137" i="2" s="1"/>
  <c r="E77" i="2"/>
  <c r="E138" i="2" s="1"/>
  <c r="F138" i="2" s="1"/>
  <c r="E141" i="2"/>
  <c r="F141" i="2" s="1"/>
  <c r="D75" i="2"/>
  <c r="D76" i="2"/>
  <c r="D77" i="2"/>
  <c r="D80" i="2"/>
  <c r="F80" i="2" s="1"/>
  <c r="F66" i="2"/>
  <c r="F67" i="2"/>
  <c r="F70" i="2"/>
  <c r="G66" i="2"/>
  <c r="G67" i="2"/>
  <c r="G70" i="2"/>
  <c r="E88" i="2"/>
  <c r="L5" i="10"/>
  <c r="M77" i="2"/>
  <c r="M16" i="2"/>
  <c r="L17" i="2"/>
  <c r="M7" i="2"/>
  <c r="N7" i="2" s="1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E109" i="2"/>
  <c r="F109" i="2" s="1"/>
  <c r="E108" i="2"/>
  <c r="F108" i="2" s="1"/>
  <c r="E154" i="2"/>
  <c r="F154" i="2" s="1"/>
  <c r="E155" i="2"/>
  <c r="E156" i="2"/>
  <c r="F156" i="2" s="1"/>
  <c r="E160" i="2"/>
  <c r="F160" i="2" s="1"/>
  <c r="F163" i="2"/>
  <c r="G163" i="2"/>
  <c r="G164" i="2" s="1"/>
  <c r="E157" i="2"/>
  <c r="F157" i="2" s="1"/>
  <c r="F174" i="2"/>
  <c r="F175" i="2"/>
  <c r="E180" i="2"/>
  <c r="F180" i="2" s="1"/>
  <c r="E177" i="2"/>
  <c r="F177" i="2" s="1"/>
  <c r="G183" i="2"/>
  <c r="G184" i="2" s="1"/>
  <c r="F183" i="2"/>
  <c r="E179" i="2"/>
  <c r="E158" i="2"/>
  <c r="H66" i="2"/>
  <c r="E96" i="2"/>
  <c r="F96" i="2" s="1"/>
  <c r="E97" i="2"/>
  <c r="F97" i="2" s="1"/>
  <c r="E98" i="2"/>
  <c r="F98" i="2" s="1"/>
  <c r="E101" i="2"/>
  <c r="F101" i="2" s="1"/>
  <c r="E110" i="2"/>
  <c r="F110" i="2" s="1"/>
  <c r="E113" i="2"/>
  <c r="F113" i="2" s="1"/>
  <c r="T5" i="10"/>
  <c r="P15" i="2"/>
  <c r="O93" i="2"/>
  <c r="M90" i="2"/>
  <c r="M91" i="2" s="1"/>
  <c r="O89" i="2"/>
  <c r="M86" i="2"/>
  <c r="M87" i="2" s="1"/>
  <c r="O87" i="2" s="1"/>
  <c r="P87" i="2" s="1"/>
  <c r="O85" i="2"/>
  <c r="P85" i="2" s="1"/>
  <c r="M82" i="2"/>
  <c r="M83" i="2" s="1"/>
  <c r="O81" i="2"/>
  <c r="Q74" i="2"/>
  <c r="E33" i="9"/>
  <c r="E34" i="9" s="1"/>
  <c r="A31" i="9"/>
  <c r="A32" i="9" s="1"/>
  <c r="A33" i="9" s="1"/>
  <c r="A34" i="9" s="1"/>
  <c r="A6" i="9"/>
  <c r="A7" i="9" s="1"/>
  <c r="A8" i="9" s="1"/>
  <c r="A9" i="9" s="1"/>
  <c r="A10" i="9" s="1"/>
  <c r="A11" i="9" s="1"/>
  <c r="A12" i="9" s="1"/>
  <c r="A13" i="9" s="1"/>
  <c r="A16" i="9" s="1"/>
  <c r="A17" i="9" s="1"/>
  <c r="A18" i="9" s="1"/>
  <c r="A24" i="9" s="1"/>
  <c r="A25" i="9" s="1"/>
  <c r="A26" i="9" s="1"/>
  <c r="A27" i="9" s="1"/>
  <c r="Q15" i="2"/>
  <c r="I28" i="2"/>
  <c r="N90" i="2"/>
  <c r="M8" i="2" l="1"/>
  <c r="N8" i="2" s="1"/>
  <c r="N53" i="2"/>
  <c r="N40" i="2"/>
  <c r="N36" i="2"/>
  <c r="N32" i="2"/>
  <c r="N24" i="2"/>
  <c r="N20" i="2"/>
  <c r="M76" i="2"/>
  <c r="O76" i="2" s="1"/>
  <c r="P76" i="2" s="1"/>
  <c r="M74" i="2"/>
  <c r="O131" i="2"/>
  <c r="N132" i="2"/>
  <c r="M75" i="2"/>
  <c r="M78" i="2"/>
  <c r="O78" i="2" s="1"/>
  <c r="P89" i="2"/>
  <c r="P93" i="2"/>
  <c r="N82" i="2"/>
  <c r="M135" i="2"/>
  <c r="L136" i="2" s="1"/>
  <c r="M134" i="2"/>
  <c r="L135" i="2" s="1"/>
  <c r="N133" i="2"/>
  <c r="O90" i="2"/>
  <c r="Q90" i="2" s="1"/>
  <c r="M92" i="2"/>
  <c r="N91" i="2"/>
  <c r="O91" i="2"/>
  <c r="N45" i="2"/>
  <c r="N49" i="2"/>
  <c r="N13" i="2"/>
  <c r="N12" i="2"/>
  <c r="N57" i="2"/>
  <c r="N28" i="2"/>
  <c r="N44" i="2"/>
  <c r="N16" i="2"/>
  <c r="L33" i="10" s="1"/>
  <c r="N60" i="2"/>
  <c r="N48" i="2"/>
  <c r="N64" i="2"/>
  <c r="N52" i="2"/>
  <c r="O77" i="2"/>
  <c r="E102" i="2"/>
  <c r="N56" i="2"/>
  <c r="F114" i="2"/>
  <c r="H67" i="2"/>
  <c r="H70" i="2"/>
  <c r="N63" i="2"/>
  <c r="N59" i="2"/>
  <c r="N55" i="2"/>
  <c r="N51" i="2"/>
  <c r="N47" i="2"/>
  <c r="N43" i="2"/>
  <c r="N39" i="2"/>
  <c r="N35" i="2"/>
  <c r="N31" i="2"/>
  <c r="N27" i="2"/>
  <c r="N23" i="2"/>
  <c r="N86" i="2"/>
  <c r="N61" i="2"/>
  <c r="N41" i="2"/>
  <c r="N37" i="2"/>
  <c r="N33" i="2"/>
  <c r="N29" i="2"/>
  <c r="N25" i="2"/>
  <c r="N21" i="2"/>
  <c r="E130" i="2"/>
  <c r="F71" i="2"/>
  <c r="F75" i="2"/>
  <c r="G71" i="2"/>
  <c r="F77" i="2"/>
  <c r="M101" i="2"/>
  <c r="G5" i="10" s="1"/>
  <c r="M84" i="2"/>
  <c r="O83" i="2"/>
  <c r="N83" i="2"/>
  <c r="P81" i="2"/>
  <c r="F102" i="2"/>
  <c r="F115" i="2" s="1"/>
  <c r="F176" i="2"/>
  <c r="E181" i="2"/>
  <c r="E184" i="2" s="1"/>
  <c r="F184" i="2" s="1"/>
  <c r="M17" i="2"/>
  <c r="N17" i="2"/>
  <c r="F142" i="2"/>
  <c r="O82" i="2"/>
  <c r="F155" i="2"/>
  <c r="E161" i="2"/>
  <c r="E164" i="2" s="1"/>
  <c r="F164" i="2" s="1"/>
  <c r="F130" i="2"/>
  <c r="N87" i="2"/>
  <c r="O86" i="2"/>
  <c r="M88" i="2"/>
  <c r="N15" i="2"/>
  <c r="N19" i="2"/>
  <c r="N14" i="2"/>
  <c r="N46" i="2"/>
  <c r="N50" i="2"/>
  <c r="N54" i="2"/>
  <c r="N58" i="2"/>
  <c r="N62" i="2"/>
  <c r="N18" i="2"/>
  <c r="N22" i="2"/>
  <c r="N26" i="2"/>
  <c r="N30" i="2"/>
  <c r="N34" i="2"/>
  <c r="N38" i="2"/>
  <c r="N42" i="2"/>
  <c r="H65" i="2"/>
  <c r="E24" i="10"/>
  <c r="F76" i="2"/>
  <c r="X5" i="10"/>
  <c r="M100" i="2"/>
  <c r="M103" i="2"/>
  <c r="H5" i="10"/>
  <c r="M115" i="2"/>
  <c r="M111" i="2"/>
  <c r="P5" i="10"/>
  <c r="M107" i="2"/>
  <c r="L25" i="10"/>
  <c r="N77" i="2" l="1"/>
  <c r="O132" i="2"/>
  <c r="N78" i="2"/>
  <c r="Q78" i="2"/>
  <c r="M79" i="2"/>
  <c r="N79" i="2" s="1"/>
  <c r="P78" i="2"/>
  <c r="H28" i="10"/>
  <c r="N76" i="2"/>
  <c r="O75" i="2"/>
  <c r="N75" i="2"/>
  <c r="T33" i="10"/>
  <c r="O133" i="2"/>
  <c r="E116" i="2"/>
  <c r="Q91" i="2"/>
  <c r="M136" i="2"/>
  <c r="L137" i="2" s="1"/>
  <c r="N135" i="2"/>
  <c r="N134" i="2"/>
  <c r="M137" i="2"/>
  <c r="L138" i="2" s="1"/>
  <c r="N136" i="2"/>
  <c r="F81" i="2"/>
  <c r="G88" i="2" s="1"/>
  <c r="E89" i="2" s="1"/>
  <c r="P90" i="2"/>
  <c r="P77" i="2"/>
  <c r="Q77" i="2"/>
  <c r="Q5" i="10"/>
  <c r="F165" i="2"/>
  <c r="F167" i="2" s="1"/>
  <c r="O74" i="2"/>
  <c r="N92" i="2"/>
  <c r="N93" i="2"/>
  <c r="O92" i="2"/>
  <c r="P91" i="2"/>
  <c r="N102" i="2"/>
  <c r="Q101" i="2" s="1"/>
  <c r="F143" i="2"/>
  <c r="F185" i="2"/>
  <c r="F186" i="2" s="1"/>
  <c r="F187" i="2" s="1"/>
  <c r="X33" i="10"/>
  <c r="P86" i="2"/>
  <c r="Q86" i="2"/>
  <c r="Q87" i="2"/>
  <c r="Q82" i="2"/>
  <c r="P82" i="2"/>
  <c r="Q83" i="2"/>
  <c r="P83" i="2"/>
  <c r="N88" i="2"/>
  <c r="O88" i="2"/>
  <c r="N89" i="2"/>
  <c r="M18" i="2"/>
  <c r="N85" i="2"/>
  <c r="O84" i="2"/>
  <c r="N84" i="2"/>
  <c r="M112" i="2"/>
  <c r="N111" i="2"/>
  <c r="Q110" i="2" s="1"/>
  <c r="M104" i="2"/>
  <c r="N103" i="2"/>
  <c r="Q102" i="2" s="1"/>
  <c r="I5" i="10"/>
  <c r="H25" i="10"/>
  <c r="F5" i="10"/>
  <c r="F25" i="10" s="1"/>
  <c r="N101" i="2"/>
  <c r="Q100" i="2" s="1"/>
  <c r="E5" i="10"/>
  <c r="N100" i="2"/>
  <c r="M116" i="2"/>
  <c r="N115" i="2"/>
  <c r="Q114" i="2" s="1"/>
  <c r="U5" i="10"/>
  <c r="P25" i="10"/>
  <c r="P33" i="10"/>
  <c r="M108" i="2"/>
  <c r="N107" i="2"/>
  <c r="Q106" i="2" s="1"/>
  <c r="M5" i="10"/>
  <c r="G25" i="10"/>
  <c r="G28" i="10"/>
  <c r="H17" i="10"/>
  <c r="H18" i="10" l="1"/>
  <c r="H67" i="10"/>
  <c r="H13" i="9"/>
  <c r="H16" i="9" s="1"/>
  <c r="E18" i="10"/>
  <c r="O134" i="2"/>
  <c r="C8" i="9"/>
  <c r="C9" i="9" s="1"/>
  <c r="O79" i="2"/>
  <c r="P79" i="2" s="1"/>
  <c r="E144" i="2"/>
  <c r="D34" i="10" s="1"/>
  <c r="E29" i="10" s="1"/>
  <c r="M80" i="2"/>
  <c r="O80" i="2" s="1"/>
  <c r="P75" i="2"/>
  <c r="Q76" i="2"/>
  <c r="Q99" i="2"/>
  <c r="P100" i="2" s="1"/>
  <c r="T100" i="2" s="1"/>
  <c r="M138" i="2"/>
  <c r="L139" i="2" s="1"/>
  <c r="N137" i="2"/>
  <c r="M139" i="2"/>
  <c r="L140" i="2" s="1"/>
  <c r="O135" i="2"/>
  <c r="O136" i="2" s="1"/>
  <c r="Q25" i="10"/>
  <c r="G8" i="9"/>
  <c r="G9" i="9" s="1"/>
  <c r="D7" i="10"/>
  <c r="H8" i="10" s="1"/>
  <c r="D8" i="9"/>
  <c r="D9" i="9" s="1"/>
  <c r="Q33" i="10"/>
  <c r="Q17" i="10"/>
  <c r="Q76" i="10" s="1"/>
  <c r="M113" i="2"/>
  <c r="N113" i="2" s="1"/>
  <c r="Q112" i="2" s="1"/>
  <c r="P92" i="2"/>
  <c r="Q93" i="2"/>
  <c r="Q92" i="2"/>
  <c r="P74" i="2"/>
  <c r="Q75" i="2"/>
  <c r="H8" i="9"/>
  <c r="H9" i="9" s="1"/>
  <c r="E8" i="9"/>
  <c r="E9" i="9" s="1"/>
  <c r="F8" i="9"/>
  <c r="F9" i="9" s="1"/>
  <c r="E40" i="10"/>
  <c r="E14" i="10" s="1"/>
  <c r="P84" i="2"/>
  <c r="Q84" i="2"/>
  <c r="Q85" i="2"/>
  <c r="M19" i="2"/>
  <c r="T25" i="10" s="1"/>
  <c r="Q88" i="2"/>
  <c r="Q89" i="2"/>
  <c r="P88" i="2"/>
  <c r="Q79" i="2"/>
  <c r="I12" i="2"/>
  <c r="I33" i="10"/>
  <c r="N112" i="2"/>
  <c r="Q111" i="2" s="1"/>
  <c r="R5" i="10"/>
  <c r="R25" i="10" s="1"/>
  <c r="I25" i="10"/>
  <c r="I17" i="10"/>
  <c r="M105" i="2"/>
  <c r="N104" i="2"/>
  <c r="Q103" i="2" s="1"/>
  <c r="J5" i="10"/>
  <c r="J25" i="10" s="1"/>
  <c r="F28" i="10"/>
  <c r="G17" i="10"/>
  <c r="E28" i="10"/>
  <c r="E17" i="10"/>
  <c r="F17" i="10"/>
  <c r="E25" i="10"/>
  <c r="E26" i="10" s="1"/>
  <c r="M117" i="2"/>
  <c r="V5" i="10"/>
  <c r="N116" i="2"/>
  <c r="Q115" i="2" s="1"/>
  <c r="U33" i="10"/>
  <c r="U17" i="10"/>
  <c r="M17" i="10"/>
  <c r="M25" i="10"/>
  <c r="M33" i="10"/>
  <c r="N108" i="2"/>
  <c r="Q107" i="2" s="1"/>
  <c r="M109" i="2"/>
  <c r="N5" i="10"/>
  <c r="I67" i="10" l="1"/>
  <c r="J67" i="10" s="1"/>
  <c r="K67" i="10" s="1"/>
  <c r="L67" i="10" s="1"/>
  <c r="M67" i="10" s="1"/>
  <c r="N67" i="10" s="1"/>
  <c r="O67" i="10" s="1"/>
  <c r="P67" i="10" s="1"/>
  <c r="Q67" i="10" s="1"/>
  <c r="R67" i="10" s="1"/>
  <c r="S67" i="10" s="1"/>
  <c r="T67" i="10" s="1"/>
  <c r="U67" i="10" s="1"/>
  <c r="V67" i="10" s="1"/>
  <c r="W67" i="10" s="1"/>
  <c r="U18" i="10"/>
  <c r="U80" i="10"/>
  <c r="V80" i="10" s="1"/>
  <c r="W80" i="10" s="1"/>
  <c r="X80" i="10" s="1"/>
  <c r="G18" i="10"/>
  <c r="G66" i="10"/>
  <c r="H66" i="10" s="1"/>
  <c r="I66" i="10" s="1"/>
  <c r="J66" i="10" s="1"/>
  <c r="K66" i="10" s="1"/>
  <c r="L66" i="10" s="1"/>
  <c r="M66" i="10" s="1"/>
  <c r="N66" i="10" s="1"/>
  <c r="O66" i="10" s="1"/>
  <c r="P66" i="10" s="1"/>
  <c r="Q66" i="10" s="1"/>
  <c r="R66" i="10" s="1"/>
  <c r="S66" i="10" s="1"/>
  <c r="T66" i="10" s="1"/>
  <c r="U66" i="10" s="1"/>
  <c r="V66" i="10" s="1"/>
  <c r="F18" i="10"/>
  <c r="F65" i="10"/>
  <c r="G65" i="10" s="1"/>
  <c r="H65" i="10" s="1"/>
  <c r="I65" i="10" s="1"/>
  <c r="J65" i="10" s="1"/>
  <c r="K65" i="10" s="1"/>
  <c r="L65" i="10" s="1"/>
  <c r="M65" i="10" s="1"/>
  <c r="N65" i="10" s="1"/>
  <c r="O65" i="10" s="1"/>
  <c r="P65" i="10" s="1"/>
  <c r="Q65" i="10" s="1"/>
  <c r="R65" i="10" s="1"/>
  <c r="S65" i="10" s="1"/>
  <c r="T65" i="10" s="1"/>
  <c r="U65" i="10" s="1"/>
  <c r="I18" i="10"/>
  <c r="I68" i="10"/>
  <c r="J68" i="10" s="1"/>
  <c r="K68" i="10" s="1"/>
  <c r="L68" i="10" s="1"/>
  <c r="M68" i="10" s="1"/>
  <c r="N68" i="10" s="1"/>
  <c r="O68" i="10" s="1"/>
  <c r="P68" i="10" s="1"/>
  <c r="Q68" i="10" s="1"/>
  <c r="R68" i="10" s="1"/>
  <c r="S68" i="10" s="1"/>
  <c r="T68" i="10" s="1"/>
  <c r="U68" i="10" s="1"/>
  <c r="V68" i="10" s="1"/>
  <c r="W68" i="10" s="1"/>
  <c r="X68" i="10" s="1"/>
  <c r="M18" i="10"/>
  <c r="M72" i="10"/>
  <c r="N72" i="10" s="1"/>
  <c r="O72" i="10" s="1"/>
  <c r="P72" i="10" s="1"/>
  <c r="Q72" i="10" s="1"/>
  <c r="R72" i="10" s="1"/>
  <c r="S72" i="10" s="1"/>
  <c r="T72" i="10" s="1"/>
  <c r="U72" i="10" s="1"/>
  <c r="V72" i="10" s="1"/>
  <c r="W72" i="10" s="1"/>
  <c r="X72" i="10" s="1"/>
  <c r="E64" i="10"/>
  <c r="F64" i="10" s="1"/>
  <c r="N138" i="2"/>
  <c r="O137" i="2"/>
  <c r="N81" i="2"/>
  <c r="N80" i="2"/>
  <c r="R76" i="10"/>
  <c r="S76" i="10" s="1"/>
  <c r="T76" i="10" s="1"/>
  <c r="U76" i="10" s="1"/>
  <c r="V76" i="10" s="1"/>
  <c r="W76" i="10" s="1"/>
  <c r="X76" i="10" s="1"/>
  <c r="Q18" i="10"/>
  <c r="P101" i="2"/>
  <c r="O138" i="2"/>
  <c r="N114" i="2"/>
  <c r="Q113" i="2" s="1"/>
  <c r="M141" i="2"/>
  <c r="L142" i="2" s="1"/>
  <c r="N140" i="2"/>
  <c r="U25" i="10"/>
  <c r="S5" i="10"/>
  <c r="T17" i="10" s="1"/>
  <c r="M140" i="2"/>
  <c r="L141" i="2" s="1"/>
  <c r="N139" i="2"/>
  <c r="L8" i="10"/>
  <c r="E7" i="10"/>
  <c r="F7" i="10" s="1"/>
  <c r="G7" i="10" s="1"/>
  <c r="H7" i="10" s="1"/>
  <c r="I7" i="10" s="1"/>
  <c r="J7" i="10" s="1"/>
  <c r="F40" i="10"/>
  <c r="G40" i="10" s="1"/>
  <c r="P80" i="2"/>
  <c r="Q80" i="2"/>
  <c r="Q81" i="2"/>
  <c r="M20" i="2"/>
  <c r="X25" i="10" s="1"/>
  <c r="R33" i="10"/>
  <c r="J33" i="10"/>
  <c r="R17" i="10"/>
  <c r="N105" i="2"/>
  <c r="Q104" i="2" s="1"/>
  <c r="N106" i="2"/>
  <c r="Q105" i="2" s="1"/>
  <c r="K5" i="10"/>
  <c r="K25" i="10" s="1"/>
  <c r="J17" i="10"/>
  <c r="E30" i="10"/>
  <c r="E35" i="10" s="1"/>
  <c r="F29" i="10"/>
  <c r="W5" i="10"/>
  <c r="N118" i="2"/>
  <c r="Q117" i="2" s="1"/>
  <c r="N117" i="2"/>
  <c r="Q116" i="2" s="1"/>
  <c r="V33" i="10"/>
  <c r="V25" i="10"/>
  <c r="V17" i="10"/>
  <c r="N17" i="10"/>
  <c r="N33" i="10"/>
  <c r="N25" i="10"/>
  <c r="N109" i="2"/>
  <c r="Q108" i="2" s="1"/>
  <c r="O5" i="10"/>
  <c r="N110" i="2"/>
  <c r="Q109" i="2" s="1"/>
  <c r="C13" i="9" l="1"/>
  <c r="J18" i="10"/>
  <c r="J69" i="10"/>
  <c r="K69" i="10" s="1"/>
  <c r="L69" i="10" s="1"/>
  <c r="M69" i="10" s="1"/>
  <c r="N69" i="10" s="1"/>
  <c r="O69" i="10" s="1"/>
  <c r="P69" i="10" s="1"/>
  <c r="Q69" i="10" s="1"/>
  <c r="R69" i="10" s="1"/>
  <c r="S69" i="10" s="1"/>
  <c r="T69" i="10" s="1"/>
  <c r="U69" i="10" s="1"/>
  <c r="V69" i="10" s="1"/>
  <c r="W69" i="10" s="1"/>
  <c r="X69" i="10" s="1"/>
  <c r="E19" i="10"/>
  <c r="E22" i="10" s="1"/>
  <c r="V18" i="10"/>
  <c r="V81" i="10"/>
  <c r="N18" i="10"/>
  <c r="N73" i="10"/>
  <c r="O73" i="10" s="1"/>
  <c r="P73" i="10" s="1"/>
  <c r="Q73" i="10" s="1"/>
  <c r="R73" i="10" s="1"/>
  <c r="S73" i="10" s="1"/>
  <c r="T73" i="10" s="1"/>
  <c r="U73" i="10" s="1"/>
  <c r="V73" i="10" s="1"/>
  <c r="W73" i="10" s="1"/>
  <c r="X73" i="10" s="1"/>
  <c r="R18" i="10"/>
  <c r="R77" i="10"/>
  <c r="S77" i="10" s="1"/>
  <c r="T77" i="10" s="1"/>
  <c r="U77" i="10" s="1"/>
  <c r="V77" i="10" s="1"/>
  <c r="W77" i="10" s="1"/>
  <c r="X77" i="10" s="1"/>
  <c r="T18" i="10"/>
  <c r="T79" i="10"/>
  <c r="U79" i="10" s="1"/>
  <c r="V79" i="10" s="1"/>
  <c r="W79" i="10" s="1"/>
  <c r="X79" i="10" s="1"/>
  <c r="O139" i="2"/>
  <c r="O140" i="2" s="1"/>
  <c r="P102" i="2"/>
  <c r="S17" i="10"/>
  <c r="S78" i="10" s="1"/>
  <c r="S25" i="10"/>
  <c r="S33" i="10"/>
  <c r="M142" i="2"/>
  <c r="L143" i="2" s="1"/>
  <c r="N141" i="2"/>
  <c r="O141" i="2" s="1"/>
  <c r="M143" i="2"/>
  <c r="L144" i="2" s="1"/>
  <c r="L17" i="10"/>
  <c r="L71" i="10" s="1"/>
  <c r="M21" i="2"/>
  <c r="M22" i="2" s="1"/>
  <c r="M23" i="2" s="1"/>
  <c r="K33" i="10"/>
  <c r="K7" i="10"/>
  <c r="L7" i="10" s="1"/>
  <c r="M7" i="10" s="1"/>
  <c r="N7" i="10" s="1"/>
  <c r="O7" i="10" s="1"/>
  <c r="P7" i="10" s="1"/>
  <c r="Q7" i="10" s="1"/>
  <c r="R7" i="10" s="1"/>
  <c r="S7" i="10" s="1"/>
  <c r="T7" i="10" s="1"/>
  <c r="U7" i="10" s="1"/>
  <c r="V7" i="10" s="1"/>
  <c r="W7" i="10" s="1"/>
  <c r="X7" i="10" s="1"/>
  <c r="K17" i="10"/>
  <c r="F30" i="10"/>
  <c r="G29" i="10"/>
  <c r="F19" i="10"/>
  <c r="G64" i="10"/>
  <c r="W33" i="10"/>
  <c r="X17" i="10"/>
  <c r="X18" i="10" s="1"/>
  <c r="W25" i="10"/>
  <c r="W17" i="10"/>
  <c r="W81" i="10"/>
  <c r="X81" i="10" s="1"/>
  <c r="O33" i="10"/>
  <c r="O17" i="10"/>
  <c r="P17" i="10"/>
  <c r="O25" i="10"/>
  <c r="H40" i="10"/>
  <c r="P18" i="10" l="1"/>
  <c r="P75" i="10"/>
  <c r="Q75" i="10" s="1"/>
  <c r="R75" i="10" s="1"/>
  <c r="S75" i="10" s="1"/>
  <c r="T75" i="10" s="1"/>
  <c r="U75" i="10" s="1"/>
  <c r="V75" i="10" s="1"/>
  <c r="W75" i="10" s="1"/>
  <c r="X75" i="10" s="1"/>
  <c r="O18" i="10"/>
  <c r="O74" i="10"/>
  <c r="P74" i="10" s="1"/>
  <c r="Q74" i="10" s="1"/>
  <c r="R74" i="10" s="1"/>
  <c r="S74" i="10" s="1"/>
  <c r="T74" i="10" s="1"/>
  <c r="U74" i="10" s="1"/>
  <c r="V74" i="10" s="1"/>
  <c r="W74" i="10" s="1"/>
  <c r="X74" i="10" s="1"/>
  <c r="W18" i="10"/>
  <c r="W82" i="10"/>
  <c r="X82" i="10" s="1"/>
  <c r="K18" i="10"/>
  <c r="K70" i="10"/>
  <c r="L70" i="10" s="1"/>
  <c r="M70" i="10" s="1"/>
  <c r="N70" i="10" s="1"/>
  <c r="O70" i="10" s="1"/>
  <c r="P70" i="10" s="1"/>
  <c r="Q70" i="10" s="1"/>
  <c r="R70" i="10" s="1"/>
  <c r="S70" i="10" s="1"/>
  <c r="T70" i="10" s="1"/>
  <c r="U70" i="10" s="1"/>
  <c r="V70" i="10" s="1"/>
  <c r="T78" i="10"/>
  <c r="U78" i="10" s="1"/>
  <c r="V78" i="10" s="1"/>
  <c r="W78" i="10" s="1"/>
  <c r="X78" i="10" s="1"/>
  <c r="S18" i="10"/>
  <c r="F13" i="9" s="1"/>
  <c r="M71" i="10"/>
  <c r="N71" i="10" s="1"/>
  <c r="O71" i="10" s="1"/>
  <c r="P71" i="10" s="1"/>
  <c r="Q71" i="10" s="1"/>
  <c r="R71" i="10" s="1"/>
  <c r="S71" i="10" s="1"/>
  <c r="T71" i="10" s="1"/>
  <c r="U71" i="10" s="1"/>
  <c r="V71" i="10" s="1"/>
  <c r="W71" i="10" s="1"/>
  <c r="X71" i="10" s="1"/>
  <c r="L18" i="10"/>
  <c r="D13" i="9" s="1"/>
  <c r="P103" i="2"/>
  <c r="N142" i="2"/>
  <c r="O142" i="2" s="1"/>
  <c r="M144" i="2"/>
  <c r="L145" i="2" s="1"/>
  <c r="N143" i="2"/>
  <c r="M145" i="2"/>
  <c r="L146" i="2" s="1"/>
  <c r="M24" i="2"/>
  <c r="M25" i="2" s="1"/>
  <c r="M26" i="2" s="1"/>
  <c r="H29" i="10"/>
  <c r="I34" i="10" s="1"/>
  <c r="J34" i="10" s="1"/>
  <c r="G30" i="10"/>
  <c r="G35" i="10" s="1"/>
  <c r="G19" i="10"/>
  <c r="H64" i="10"/>
  <c r="F35" i="10"/>
  <c r="G13" i="9"/>
  <c r="I40" i="10"/>
  <c r="P104" i="2" l="1"/>
  <c r="P105" i="2" s="1"/>
  <c r="P106" i="2" s="1"/>
  <c r="O143" i="2"/>
  <c r="N144" i="2"/>
  <c r="M147" i="2"/>
  <c r="L148" i="2" s="1"/>
  <c r="M146" i="2"/>
  <c r="L147" i="2" s="1"/>
  <c r="N145" i="2"/>
  <c r="M27" i="2"/>
  <c r="M28" i="2" s="1"/>
  <c r="M29" i="2" s="1"/>
  <c r="D31" i="10"/>
  <c r="H18" i="9" s="1"/>
  <c r="H30" i="10"/>
  <c r="I64" i="10"/>
  <c r="H19" i="10"/>
  <c r="D20" i="10" s="1"/>
  <c r="U19" i="10"/>
  <c r="W70" i="10"/>
  <c r="V19" i="10"/>
  <c r="E13" i="9"/>
  <c r="J40" i="10"/>
  <c r="O144" i="2" l="1"/>
  <c r="P107" i="2"/>
  <c r="P108" i="2" s="1"/>
  <c r="P109" i="2" s="1"/>
  <c r="P110" i="2" s="1"/>
  <c r="P111" i="2" s="1"/>
  <c r="P112" i="2" s="1"/>
  <c r="P113" i="2" s="1"/>
  <c r="P114" i="2" s="1"/>
  <c r="P115" i="2" s="1"/>
  <c r="P116" i="2" s="1"/>
  <c r="P117" i="2" s="1"/>
  <c r="P118" i="2" s="1"/>
  <c r="N146" i="2"/>
  <c r="M148" i="2"/>
  <c r="L149" i="2" s="1"/>
  <c r="N147" i="2"/>
  <c r="O145" i="2"/>
  <c r="M149" i="2"/>
  <c r="L150" i="2" s="1"/>
  <c r="N148" i="2"/>
  <c r="M30" i="2"/>
  <c r="M31" i="2" s="1"/>
  <c r="M32" i="2" s="1"/>
  <c r="I35" i="10"/>
  <c r="H35" i="10"/>
  <c r="C18" i="9" s="1"/>
  <c r="D30" i="10"/>
  <c r="J64" i="10"/>
  <c r="I19" i="10"/>
  <c r="X70" i="10"/>
  <c r="W19" i="10"/>
  <c r="K40" i="10"/>
  <c r="O146" i="2" l="1"/>
  <c r="O147" i="2" s="1"/>
  <c r="O148" i="2" s="1"/>
  <c r="M151" i="2"/>
  <c r="L152" i="2" s="1"/>
  <c r="M150" i="2"/>
  <c r="L151" i="2" s="1"/>
  <c r="N149" i="2"/>
  <c r="M33" i="2"/>
  <c r="J19" i="10"/>
  <c r="K64" i="10"/>
  <c r="K34" i="10"/>
  <c r="J35" i="10"/>
  <c r="L40" i="10"/>
  <c r="O149" i="2" l="1"/>
  <c r="N150" i="2"/>
  <c r="O150" i="2" s="1"/>
  <c r="M152" i="2"/>
  <c r="L153" i="2" s="1"/>
  <c r="N151" i="2"/>
  <c r="M153" i="2"/>
  <c r="L154" i="2" s="1"/>
  <c r="M34" i="2"/>
  <c r="M35" i="2" s="1"/>
  <c r="K35" i="10"/>
  <c r="L34" i="10"/>
  <c r="K19" i="10"/>
  <c r="L64" i="10"/>
  <c r="M40" i="10"/>
  <c r="M154" i="2" l="1"/>
  <c r="L155" i="2" s="1"/>
  <c r="N153" i="2"/>
  <c r="N152" i="2"/>
  <c r="M155" i="2"/>
  <c r="L156" i="2" s="1"/>
  <c r="N154" i="2"/>
  <c r="O151" i="2"/>
  <c r="M36" i="2"/>
  <c r="M37" i="2" s="1"/>
  <c r="M34" i="10"/>
  <c r="L35" i="10"/>
  <c r="D18" i="9" s="1"/>
  <c r="L19" i="10"/>
  <c r="M64" i="10"/>
  <c r="N40" i="10"/>
  <c r="M157" i="2" l="1"/>
  <c r="L158" i="2" s="1"/>
  <c r="O152" i="2"/>
  <c r="O153" i="2" s="1"/>
  <c r="O154" i="2" s="1"/>
  <c r="M156" i="2"/>
  <c r="L157" i="2" s="1"/>
  <c r="N155" i="2"/>
  <c r="M38" i="2"/>
  <c r="M39" i="2" s="1"/>
  <c r="M19" i="10"/>
  <c r="N64" i="10"/>
  <c r="N34" i="10"/>
  <c r="M35" i="10"/>
  <c r="O40" i="10"/>
  <c r="O155" i="2" l="1"/>
  <c r="M158" i="2"/>
  <c r="L159" i="2" s="1"/>
  <c r="N157" i="2"/>
  <c r="N156" i="2"/>
  <c r="M159" i="2"/>
  <c r="L160" i="2" s="1"/>
  <c r="M40" i="2"/>
  <c r="M41" i="2" s="1"/>
  <c r="N35" i="10"/>
  <c r="O34" i="10"/>
  <c r="N19" i="10"/>
  <c r="O64" i="10"/>
  <c r="P40" i="10"/>
  <c r="N158" i="2" l="1"/>
  <c r="M160" i="2"/>
  <c r="L161" i="2" s="1"/>
  <c r="M162" i="2" s="1"/>
  <c r="L163" i="2" s="1"/>
  <c r="N159" i="2"/>
  <c r="M161" i="2"/>
  <c r="L162" i="2" s="1"/>
  <c r="O156" i="2"/>
  <c r="O157" i="2" s="1"/>
  <c r="O158" i="2" s="1"/>
  <c r="M42" i="2"/>
  <c r="M43" i="2" s="1"/>
  <c r="M44" i="2" s="1"/>
  <c r="O19" i="10"/>
  <c r="P64" i="10"/>
  <c r="P34" i="10"/>
  <c r="O35" i="10"/>
  <c r="Q40" i="10"/>
  <c r="N160" i="2" l="1"/>
  <c r="M163" i="2"/>
  <c r="L164" i="2" s="1"/>
  <c r="N162" i="2"/>
  <c r="M164" i="2"/>
  <c r="L165" i="2" s="1"/>
  <c r="O159" i="2"/>
  <c r="O160" i="2" s="1"/>
  <c r="N161" i="2"/>
  <c r="M45" i="2"/>
  <c r="M46" i="2" s="1"/>
  <c r="P35" i="10"/>
  <c r="E18" i="9" s="1"/>
  <c r="Q34" i="10"/>
  <c r="Q64" i="10"/>
  <c r="P19" i="10"/>
  <c r="R40" i="10"/>
  <c r="O161" i="2" l="1"/>
  <c r="O162" i="2" s="1"/>
  <c r="M166" i="2"/>
  <c r="L167" i="2" s="1"/>
  <c r="M165" i="2"/>
  <c r="L166" i="2" s="1"/>
  <c r="N164" i="2"/>
  <c r="N163" i="2"/>
  <c r="O163" i="2" s="1"/>
  <c r="M47" i="2"/>
  <c r="M48" i="2" s="1"/>
  <c r="M49" i="2" s="1"/>
  <c r="R64" i="10"/>
  <c r="Q19" i="10"/>
  <c r="Q35" i="10"/>
  <c r="R34" i="10"/>
  <c r="S40" i="10"/>
  <c r="O164" i="2" l="1"/>
  <c r="N165" i="2"/>
  <c r="O165" i="2" s="1"/>
  <c r="M167" i="2"/>
  <c r="L168" i="2" s="1"/>
  <c r="N166" i="2"/>
  <c r="M168" i="2"/>
  <c r="L169" i="2" s="1"/>
  <c r="M50" i="2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R19" i="10"/>
  <c r="S64" i="10"/>
  <c r="S34" i="10"/>
  <c r="R35" i="10"/>
  <c r="T40" i="10"/>
  <c r="O166" i="2" l="1"/>
  <c r="M170" i="2"/>
  <c r="L171" i="2" s="1"/>
  <c r="M169" i="2"/>
  <c r="L170" i="2" s="1"/>
  <c r="N168" i="2"/>
  <c r="N167" i="2"/>
  <c r="O167" i="2" s="1"/>
  <c r="S19" i="10"/>
  <c r="T64" i="10"/>
  <c r="T19" i="10" s="1"/>
  <c r="S35" i="10"/>
  <c r="T34" i="10"/>
  <c r="O168" i="2" l="1"/>
  <c r="M171" i="2"/>
  <c r="L172" i="2" s="1"/>
  <c r="N170" i="2"/>
  <c r="N169" i="2"/>
  <c r="O169" i="2" s="1"/>
  <c r="M172" i="2"/>
  <c r="L173" i="2" s="1"/>
  <c r="N171" i="2"/>
  <c r="T35" i="10"/>
  <c r="F18" i="9" s="1"/>
  <c r="U34" i="10"/>
  <c r="O170" i="2" l="1"/>
  <c r="M173" i="2"/>
  <c r="L174" i="2" s="1"/>
  <c r="N172" i="2"/>
  <c r="M174" i="2"/>
  <c r="L175" i="2" s="1"/>
  <c r="O171" i="2"/>
  <c r="V34" i="10"/>
  <c r="U35" i="10"/>
  <c r="N173" i="2" l="1"/>
  <c r="M176" i="2"/>
  <c r="L177" i="2" s="1"/>
  <c r="O172" i="2"/>
  <c r="M175" i="2"/>
  <c r="L176" i="2" s="1"/>
  <c r="N174" i="2"/>
  <c r="V35" i="10"/>
  <c r="W34" i="10"/>
  <c r="O173" i="2" l="1"/>
  <c r="O174" i="2" s="1"/>
  <c r="M177" i="2"/>
  <c r="L178" i="2" s="1"/>
  <c r="N176" i="2"/>
  <c r="N175" i="2"/>
  <c r="M178" i="2"/>
  <c r="L179" i="2" s="1"/>
  <c r="X34" i="10"/>
  <c r="X35" i="10" s="1"/>
  <c r="W35" i="10"/>
  <c r="O175" i="2" l="1"/>
  <c r="O176" i="2" s="1"/>
  <c r="N177" i="2"/>
  <c r="M180" i="2"/>
  <c r="L181" i="2" s="1"/>
  <c r="M179" i="2"/>
  <c r="L180" i="2" s="1"/>
  <c r="N178" i="2"/>
  <c r="G18" i="9"/>
  <c r="O177" i="2" l="1"/>
  <c r="O178" i="2" s="1"/>
  <c r="N179" i="2"/>
  <c r="O179" i="2" s="1"/>
  <c r="M181" i="2"/>
  <c r="N181" i="2" s="1"/>
  <c r="N180" i="2"/>
  <c r="O180" i="2" l="1"/>
  <c r="O181" i="2" s="1"/>
  <c r="R100" i="2"/>
  <c r="O101" i="2" s="1"/>
  <c r="T101" i="2" s="1"/>
  <c r="U100" i="2"/>
  <c r="V100" i="2" l="1"/>
  <c r="W100" i="2" s="1"/>
  <c r="F13" i="10" s="1"/>
  <c r="F41" i="10" s="1"/>
  <c r="F14" i="10" s="1"/>
  <c r="F22" i="10" s="1"/>
  <c r="F12" i="10"/>
  <c r="F24" i="10" s="1"/>
  <c r="F26" i="10" s="1"/>
  <c r="U101" i="2"/>
  <c r="R101" i="2"/>
  <c r="O102" i="2" s="1"/>
  <c r="T102" i="2" s="1"/>
  <c r="S100" i="2"/>
  <c r="U102" i="2" l="1"/>
  <c r="H12" i="10" s="1"/>
  <c r="G12" i="10"/>
  <c r="G24" i="10" s="1"/>
  <c r="G26" i="10" s="1"/>
  <c r="V101" i="2"/>
  <c r="W101" i="2" s="1"/>
  <c r="G13" i="10" s="1"/>
  <c r="G42" i="10" s="1"/>
  <c r="H42" i="10" s="1"/>
  <c r="S101" i="2"/>
  <c r="R102" i="2"/>
  <c r="O103" i="2" s="1"/>
  <c r="T103" i="2" s="1"/>
  <c r="G41" i="10"/>
  <c r="S102" i="2" l="1"/>
  <c r="U103" i="2"/>
  <c r="V103" i="2" s="1"/>
  <c r="V102" i="2"/>
  <c r="W102" i="2" s="1"/>
  <c r="H13" i="10" s="1"/>
  <c r="G14" i="10"/>
  <c r="G22" i="10" s="1"/>
  <c r="R103" i="2"/>
  <c r="O104" i="2" s="1"/>
  <c r="T104" i="2" s="1"/>
  <c r="I42" i="10"/>
  <c r="H24" i="10"/>
  <c r="H26" i="10" s="1"/>
  <c r="H17" i="9" s="1"/>
  <c r="H20" i="9" s="1"/>
  <c r="H22" i="9" l="1"/>
  <c r="H23" i="9" s="1"/>
  <c r="U104" i="2"/>
  <c r="S104" i="2" s="1"/>
  <c r="H43" i="10"/>
  <c r="I43" i="10" s="1"/>
  <c r="J43" i="10" s="1"/>
  <c r="K43" i="10" s="1"/>
  <c r="L43" i="10" s="1"/>
  <c r="M43" i="10" s="1"/>
  <c r="N43" i="10" s="1"/>
  <c r="O43" i="10" s="1"/>
  <c r="P43" i="10" s="1"/>
  <c r="Q43" i="10" s="1"/>
  <c r="R43" i="10" s="1"/>
  <c r="S43" i="10" s="1"/>
  <c r="T43" i="10" s="1"/>
  <c r="U43" i="10" s="1"/>
  <c r="V43" i="10" s="1"/>
  <c r="W43" i="10" s="1"/>
  <c r="S103" i="2"/>
  <c r="W103" i="2"/>
  <c r="I13" i="10" s="1"/>
  <c r="I44" i="10" s="1"/>
  <c r="J44" i="10" s="1"/>
  <c r="K44" i="10" s="1"/>
  <c r="L44" i="10" s="1"/>
  <c r="M44" i="10" s="1"/>
  <c r="N44" i="10" s="1"/>
  <c r="O44" i="10" s="1"/>
  <c r="P44" i="10" s="1"/>
  <c r="Q44" i="10" s="1"/>
  <c r="R44" i="10" s="1"/>
  <c r="S44" i="10" s="1"/>
  <c r="T44" i="10" s="1"/>
  <c r="U44" i="10" s="1"/>
  <c r="V44" i="10" s="1"/>
  <c r="W44" i="10" s="1"/>
  <c r="X44" i="10" s="1"/>
  <c r="I12" i="10"/>
  <c r="I24" i="10" s="1"/>
  <c r="I26" i="10" s="1"/>
  <c r="C12" i="9"/>
  <c r="R104" i="2"/>
  <c r="O105" i="2" s="1"/>
  <c r="T105" i="2" s="1"/>
  <c r="J42" i="10"/>
  <c r="C17" i="9"/>
  <c r="J12" i="10" l="1"/>
  <c r="J24" i="10" s="1"/>
  <c r="J26" i="10" s="1"/>
  <c r="R105" i="2"/>
  <c r="O106" i="2" s="1"/>
  <c r="T106" i="2" s="1"/>
  <c r="V104" i="2"/>
  <c r="W104" i="2" s="1"/>
  <c r="J13" i="10" s="1"/>
  <c r="J45" i="10" s="1"/>
  <c r="K45" i="10" s="1"/>
  <c r="L45" i="10" s="1"/>
  <c r="M45" i="10" s="1"/>
  <c r="N45" i="10" s="1"/>
  <c r="O45" i="10" s="1"/>
  <c r="P45" i="10" s="1"/>
  <c r="Q45" i="10" s="1"/>
  <c r="R45" i="10" s="1"/>
  <c r="S45" i="10" s="1"/>
  <c r="T45" i="10" s="1"/>
  <c r="U45" i="10" s="1"/>
  <c r="V45" i="10" s="1"/>
  <c r="W45" i="10" s="1"/>
  <c r="X45" i="10" s="1"/>
  <c r="H14" i="10"/>
  <c r="H22" i="10" s="1"/>
  <c r="C16" i="9" s="1"/>
  <c r="C20" i="9" s="1"/>
  <c r="I14" i="10"/>
  <c r="I22" i="10" s="1"/>
  <c r="U105" i="2"/>
  <c r="K42" i="10"/>
  <c r="J14" i="10" l="1"/>
  <c r="J22" i="10" s="1"/>
  <c r="C22" i="9"/>
  <c r="C23" i="9" s="1"/>
  <c r="L42" i="10"/>
  <c r="K12" i="10"/>
  <c r="K24" i="10" s="1"/>
  <c r="K26" i="10" s="1"/>
  <c r="R106" i="2"/>
  <c r="O107" i="2" s="1"/>
  <c r="T107" i="2" s="1"/>
  <c r="V105" i="2"/>
  <c r="W105" i="2" s="1"/>
  <c r="K13" i="10" s="1"/>
  <c r="S105" i="2"/>
  <c r="U106" i="2"/>
  <c r="L12" i="10" l="1"/>
  <c r="L24" i="10" s="1"/>
  <c r="L26" i="10" s="1"/>
  <c r="D17" i="9" s="1"/>
  <c r="S106" i="2"/>
  <c r="V106" i="2"/>
  <c r="W106" i="2" s="1"/>
  <c r="L13" i="10" s="1"/>
  <c r="L47" i="10" s="1"/>
  <c r="M47" i="10" s="1"/>
  <c r="N47" i="10" s="1"/>
  <c r="O47" i="10" s="1"/>
  <c r="P47" i="10" s="1"/>
  <c r="Q47" i="10" s="1"/>
  <c r="R47" i="10" s="1"/>
  <c r="S47" i="10" s="1"/>
  <c r="T47" i="10" s="1"/>
  <c r="U47" i="10" s="1"/>
  <c r="V47" i="10" s="1"/>
  <c r="W47" i="10" s="1"/>
  <c r="X47" i="10" s="1"/>
  <c r="R107" i="2"/>
  <c r="O108" i="2" s="1"/>
  <c r="T108" i="2" s="1"/>
  <c r="U107" i="2"/>
  <c r="K46" i="10"/>
  <c r="M42" i="10"/>
  <c r="D12" i="9" l="1"/>
  <c r="M12" i="10"/>
  <c r="M24" i="10" s="1"/>
  <c r="M26" i="10" s="1"/>
  <c r="S107" i="2"/>
  <c r="U108" i="2"/>
  <c r="V107" i="2"/>
  <c r="W107" i="2" s="1"/>
  <c r="M13" i="10" s="1"/>
  <c r="R108" i="2"/>
  <c r="O109" i="2" s="1"/>
  <c r="T109" i="2" s="1"/>
  <c r="N42" i="10"/>
  <c r="L46" i="10"/>
  <c r="K14" i="10"/>
  <c r="K22" i="10" s="1"/>
  <c r="M48" i="10" l="1"/>
  <c r="N48" i="10" s="1"/>
  <c r="O48" i="10" s="1"/>
  <c r="P48" i="10" s="1"/>
  <c r="Q48" i="10" s="1"/>
  <c r="R48" i="10" s="1"/>
  <c r="S48" i="10" s="1"/>
  <c r="T48" i="10" s="1"/>
  <c r="U48" i="10" s="1"/>
  <c r="V48" i="10" s="1"/>
  <c r="W48" i="10" s="1"/>
  <c r="X48" i="10" s="1"/>
  <c r="M46" i="10"/>
  <c r="L14" i="10"/>
  <c r="L22" i="10" s="1"/>
  <c r="D16" i="9" s="1"/>
  <c r="N12" i="10"/>
  <c r="N24" i="10" s="1"/>
  <c r="N26" i="10" s="1"/>
  <c r="R109" i="2"/>
  <c r="O110" i="2" s="1"/>
  <c r="T110" i="2" s="1"/>
  <c r="S108" i="2"/>
  <c r="U109" i="2"/>
  <c r="V108" i="2"/>
  <c r="W108" i="2" s="1"/>
  <c r="N13" i="10" s="1"/>
  <c r="N49" i="10" s="1"/>
  <c r="O49" i="10" s="1"/>
  <c r="P49" i="10" s="1"/>
  <c r="Q49" i="10" s="1"/>
  <c r="R49" i="10" s="1"/>
  <c r="S49" i="10" s="1"/>
  <c r="T49" i="10" s="1"/>
  <c r="U49" i="10" s="1"/>
  <c r="V49" i="10" s="1"/>
  <c r="W49" i="10" s="1"/>
  <c r="X49" i="10" s="1"/>
  <c r="O42" i="10"/>
  <c r="D20" i="9" l="1"/>
  <c r="D22" i="9" s="1"/>
  <c r="D23" i="9" s="1"/>
  <c r="O12" i="10"/>
  <c r="O24" i="10" s="1"/>
  <c r="O26" i="10" s="1"/>
  <c r="S109" i="2"/>
  <c r="U110" i="2"/>
  <c r="V109" i="2"/>
  <c r="W109" i="2" s="1"/>
  <c r="O13" i="10" s="1"/>
  <c r="O50" i="10" s="1"/>
  <c r="P50" i="10" s="1"/>
  <c r="Q50" i="10" s="1"/>
  <c r="R50" i="10" s="1"/>
  <c r="S50" i="10" s="1"/>
  <c r="T50" i="10" s="1"/>
  <c r="U50" i="10" s="1"/>
  <c r="V50" i="10" s="1"/>
  <c r="W50" i="10" s="1"/>
  <c r="X50" i="10" s="1"/>
  <c r="R110" i="2"/>
  <c r="O111" i="2" s="1"/>
  <c r="T111" i="2" s="1"/>
  <c r="N46" i="10"/>
  <c r="M14" i="10"/>
  <c r="M22" i="10" s="1"/>
  <c r="P42" i="10"/>
  <c r="Q42" i="10" l="1"/>
  <c r="P12" i="10"/>
  <c r="P24" i="10" s="1"/>
  <c r="P26" i="10" s="1"/>
  <c r="E17" i="9" s="1"/>
  <c r="S110" i="2"/>
  <c r="U111" i="2"/>
  <c r="V110" i="2"/>
  <c r="W110" i="2" s="1"/>
  <c r="P13" i="10" s="1"/>
  <c r="R111" i="2"/>
  <c r="O112" i="2" s="1"/>
  <c r="T112" i="2" s="1"/>
  <c r="O46" i="10"/>
  <c r="N14" i="10"/>
  <c r="N22" i="10" s="1"/>
  <c r="P46" i="10" l="1"/>
  <c r="O14" i="10"/>
  <c r="O22" i="10" s="1"/>
  <c r="P51" i="10"/>
  <c r="Q51" i="10" s="1"/>
  <c r="R51" i="10" s="1"/>
  <c r="S51" i="10" s="1"/>
  <c r="T51" i="10" s="1"/>
  <c r="U51" i="10" s="1"/>
  <c r="V51" i="10" s="1"/>
  <c r="W51" i="10" s="1"/>
  <c r="X51" i="10" s="1"/>
  <c r="E12" i="9"/>
  <c r="Q12" i="10"/>
  <c r="Q24" i="10" s="1"/>
  <c r="Q26" i="10" s="1"/>
  <c r="S111" i="2"/>
  <c r="U112" i="2"/>
  <c r="V111" i="2"/>
  <c r="W111" i="2" s="1"/>
  <c r="Q13" i="10" s="1"/>
  <c r="R112" i="2"/>
  <c r="O113" i="2" s="1"/>
  <c r="T113" i="2" s="1"/>
  <c r="R42" i="10"/>
  <c r="Q52" i="10" l="1"/>
  <c r="R52" i="10" s="1"/>
  <c r="S52" i="10" s="1"/>
  <c r="T52" i="10" s="1"/>
  <c r="U52" i="10" s="1"/>
  <c r="V52" i="10" s="1"/>
  <c r="W52" i="10" s="1"/>
  <c r="X52" i="10" s="1"/>
  <c r="R12" i="10"/>
  <c r="R24" i="10" s="1"/>
  <c r="R26" i="10" s="1"/>
  <c r="U113" i="2"/>
  <c r="V112" i="2"/>
  <c r="W112" i="2" s="1"/>
  <c r="R13" i="10" s="1"/>
  <c r="R53" i="10" s="1"/>
  <c r="S53" i="10" s="1"/>
  <c r="T53" i="10" s="1"/>
  <c r="U53" i="10" s="1"/>
  <c r="V53" i="10" s="1"/>
  <c r="W53" i="10" s="1"/>
  <c r="X53" i="10" s="1"/>
  <c r="R113" i="2"/>
  <c r="O114" i="2" s="1"/>
  <c r="T114" i="2" s="1"/>
  <c r="S112" i="2"/>
  <c r="S42" i="10"/>
  <c r="Q46" i="10"/>
  <c r="P14" i="10"/>
  <c r="P22" i="10" s="1"/>
  <c r="E16" i="9" s="1"/>
  <c r="E20" i="9" l="1"/>
  <c r="E22" i="9" s="1"/>
  <c r="E23" i="9" s="1"/>
  <c r="T42" i="10"/>
  <c r="S12" i="10"/>
  <c r="S24" i="10" s="1"/>
  <c r="S26" i="10" s="1"/>
  <c r="V113" i="2"/>
  <c r="W113" i="2" s="1"/>
  <c r="S13" i="10" s="1"/>
  <c r="S54" i="10" s="1"/>
  <c r="T54" i="10" s="1"/>
  <c r="U54" i="10" s="1"/>
  <c r="V54" i="10" s="1"/>
  <c r="W54" i="10" s="1"/>
  <c r="X54" i="10" s="1"/>
  <c r="R114" i="2"/>
  <c r="O115" i="2" s="1"/>
  <c r="T115" i="2" s="1"/>
  <c r="S113" i="2"/>
  <c r="U114" i="2"/>
  <c r="R46" i="10"/>
  <c r="Q14" i="10"/>
  <c r="Q22" i="10" s="1"/>
  <c r="T12" i="10" l="1"/>
  <c r="T24" i="10" s="1"/>
  <c r="T26" i="10" s="1"/>
  <c r="F17" i="9" s="1"/>
  <c r="V114" i="2"/>
  <c r="W114" i="2" s="1"/>
  <c r="T13" i="10" s="1"/>
  <c r="T55" i="10" s="1"/>
  <c r="U55" i="10" s="1"/>
  <c r="V55" i="10" s="1"/>
  <c r="W55" i="10" s="1"/>
  <c r="X55" i="10" s="1"/>
  <c r="R115" i="2"/>
  <c r="O116" i="2" s="1"/>
  <c r="T116" i="2" s="1"/>
  <c r="S114" i="2"/>
  <c r="U115" i="2"/>
  <c r="S46" i="10"/>
  <c r="R14" i="10"/>
  <c r="R22" i="10" s="1"/>
  <c r="U42" i="10"/>
  <c r="F12" i="9" l="1"/>
  <c r="T46" i="10"/>
  <c r="S14" i="10"/>
  <c r="S22" i="10" s="1"/>
  <c r="U12" i="10"/>
  <c r="U24" i="10" s="1"/>
  <c r="U26" i="10" s="1"/>
  <c r="V115" i="2"/>
  <c r="W115" i="2" s="1"/>
  <c r="U13" i="10" s="1"/>
  <c r="R116" i="2"/>
  <c r="O117" i="2" s="1"/>
  <c r="T117" i="2" s="1"/>
  <c r="S115" i="2"/>
  <c r="U116" i="2"/>
  <c r="V12" i="10" l="1"/>
  <c r="V24" i="10" s="1"/>
  <c r="V26" i="10" s="1"/>
  <c r="V116" i="2"/>
  <c r="W116" i="2" s="1"/>
  <c r="V13" i="10" s="1"/>
  <c r="V57" i="10" s="1"/>
  <c r="W57" i="10" s="1"/>
  <c r="X57" i="10" s="1"/>
  <c r="R117" i="2"/>
  <c r="O118" i="2" s="1"/>
  <c r="T118" i="2" s="1"/>
  <c r="S116" i="2"/>
  <c r="U117" i="2"/>
  <c r="U56" i="10"/>
  <c r="V56" i="10" s="1"/>
  <c r="W56" i="10" s="1"/>
  <c r="X56" i="10" s="1"/>
  <c r="U46" i="10"/>
  <c r="T14" i="10"/>
  <c r="T22" i="10" s="1"/>
  <c r="F16" i="9" s="1"/>
  <c r="F20" i="9" l="1"/>
  <c r="F22" i="9" s="1"/>
  <c r="F23" i="9" s="1"/>
  <c r="V46" i="10"/>
  <c r="U14" i="10"/>
  <c r="U22" i="10" s="1"/>
  <c r="W12" i="10"/>
  <c r="W24" i="10" s="1"/>
  <c r="W26" i="10" s="1"/>
  <c r="V117" i="2"/>
  <c r="W117" i="2" s="1"/>
  <c r="W13" i="10" s="1"/>
  <c r="W58" i="10" s="1"/>
  <c r="X58" i="10" s="1"/>
  <c r="R118" i="2"/>
  <c r="S117" i="2"/>
  <c r="U118" i="2"/>
  <c r="W46" i="10" l="1"/>
  <c r="V14" i="10"/>
  <c r="V22" i="10" s="1"/>
  <c r="X12" i="10"/>
  <c r="X24" i="10" s="1"/>
  <c r="X26" i="10" s="1"/>
  <c r="G17" i="9" s="1"/>
  <c r="V118" i="2"/>
  <c r="W118" i="2" s="1"/>
  <c r="X13" i="10" s="1"/>
  <c r="S118" i="2"/>
  <c r="X59" i="10" l="1"/>
  <c r="X83" i="10"/>
  <c r="X19" i="10" s="1"/>
  <c r="X46" i="10"/>
  <c r="W14" i="10"/>
  <c r="W22" i="10" s="1"/>
  <c r="G12" i="9"/>
  <c r="X14" i="10" l="1"/>
  <c r="X22" i="10" s="1"/>
  <c r="G16" i="9" s="1"/>
  <c r="G20" i="9" s="1"/>
  <c r="G22" i="9" l="1"/>
  <c r="G23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</author>
  </authors>
  <commentList>
    <comment ref="H26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Nick:</t>
        </r>
        <r>
          <rPr>
            <sz val="8"/>
            <color indexed="81"/>
            <rFont val="Tahoma"/>
            <family val="2"/>
          </rPr>
          <t xml:space="preserve">
This value is used for the whole year column</t>
        </r>
      </text>
    </comment>
    <comment ref="C31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 xml:space="preserve">Nick:
Whole year number for 200 subs
</t>
        </r>
      </text>
    </comment>
  </commentList>
</comments>
</file>

<file path=xl/sharedStrings.xml><?xml version="1.0" encoding="utf-8"?>
<sst xmlns="http://schemas.openxmlformats.org/spreadsheetml/2006/main" count="286" uniqueCount="169">
  <si>
    <t>REVENUE</t>
  </si>
  <si>
    <t>ANNUAL SUBSCRIBER REVENUE</t>
  </si>
  <si>
    <t>EXPENSES</t>
  </si>
  <si>
    <t>Direct Internet Access, per 100Mbs</t>
  </si>
  <si>
    <t>$/Month</t>
  </si>
  <si>
    <t>Sub Count</t>
  </si>
  <si>
    <t>Modem Rental</t>
  </si>
  <si>
    <t>4/1</t>
  </si>
  <si>
    <t>10/2</t>
  </si>
  <si>
    <t>Monthly Service Revenue</t>
  </si>
  <si>
    <t>Power Supply</t>
  </si>
  <si>
    <t>Modem rental fee, per month (all subscribers)</t>
  </si>
  <si>
    <t>Commercial Class Service (Download / Upload)</t>
  </si>
  <si>
    <t>Consumer Class Services  (Download/Upload)</t>
  </si>
  <si>
    <t>Total Number of Subscribers</t>
  </si>
  <si>
    <t>Per Site</t>
  </si>
  <si>
    <t>Premium</t>
  </si>
  <si>
    <t>Magnum</t>
  </si>
  <si>
    <t>Magnum Business</t>
  </si>
  <si>
    <t>Services</t>
  </si>
  <si>
    <t>Integrated - standard</t>
  </si>
  <si>
    <t>Reflector - for fringe areas</t>
  </si>
  <si>
    <t>Total CPE</t>
  </si>
  <si>
    <t>Cloud Fee</t>
  </si>
  <si>
    <t>MONTHLY SUBSCRIPTION REVENUE ($ per Month)</t>
  </si>
  <si>
    <t>Capital Model</t>
  </si>
  <si>
    <t>Direct internet Access, Per 50Mbs</t>
  </si>
  <si>
    <t>TOTAL EXPENSES</t>
  </si>
  <si>
    <t>Monthy Site Lease, Pico Site</t>
  </si>
  <si>
    <t>Extra</t>
  </si>
  <si>
    <t>Network Operating Margin</t>
  </si>
  <si>
    <t xml:space="preserve">Margin </t>
  </si>
  <si>
    <t>BUSINESS CASE WITH LOCALOOP'S TURNKEY SYNKRO PLATFORM</t>
  </si>
  <si>
    <t xml:space="preserve"> Assumptions for LocaLoop's synKro  Solution</t>
  </si>
  <si>
    <t>Lease values apply to customers which have been in business for a minimum of 2 years.</t>
  </si>
  <si>
    <t>Average CPE, calculated</t>
  </si>
  <si>
    <t>Blended CPE Cost, for model</t>
  </si>
  <si>
    <t>Capacity</t>
  </si>
  <si>
    <t>Price</t>
  </si>
  <si>
    <t>Users</t>
  </si>
  <si>
    <t>Subs</t>
  </si>
  <si>
    <t>Macro x 4</t>
  </si>
  <si>
    <t>End of Year</t>
  </si>
  <si>
    <t>Delta</t>
  </si>
  <si>
    <t>Year 1</t>
  </si>
  <si>
    <t>Year 2</t>
  </si>
  <si>
    <t>Year 3</t>
  </si>
  <si>
    <t>Year 4</t>
  </si>
  <si>
    <t>Time  Line Worksheet</t>
  </si>
  <si>
    <t>Year 5</t>
  </si>
  <si>
    <t>Subscribers, Quarter End</t>
  </si>
  <si>
    <t>Expense</t>
  </si>
  <si>
    <t>Site Capex</t>
  </si>
  <si>
    <t>Revenue per quarter</t>
  </si>
  <si>
    <t>Quarter Number</t>
  </si>
  <si>
    <t>Site Capex Leases</t>
  </si>
  <si>
    <t>CPE Lease, Quarter</t>
  </si>
  <si>
    <t>Per month</t>
  </si>
  <si>
    <t xml:space="preserve">CPE Capex </t>
  </si>
  <si>
    <t xml:space="preserve">   Capital for  Modems (Acquired Quarterly), per year</t>
  </si>
  <si>
    <t>CPE :Buy Qty</t>
  </si>
  <si>
    <t>CPE: Buy Capex</t>
  </si>
  <si>
    <t>Capex lease, quarter</t>
  </si>
  <si>
    <t>Tower lease, quarter</t>
  </si>
  <si>
    <t>ICS Fee</t>
  </si>
  <si>
    <t>DIA Fees, per quarter</t>
  </si>
  <si>
    <t>ICS Fees Per quarter</t>
  </si>
  <si>
    <t>Total, quarter</t>
  </si>
  <si>
    <t>Cloud Fees, per quarter</t>
  </si>
  <si>
    <t>total, quarter</t>
  </si>
  <si>
    <t>Whole year capital lease for all tower equipment and modems. (Based on good credit 48 month lease)</t>
  </si>
  <si>
    <t>Site Capex Lease, Quarter</t>
  </si>
  <si>
    <t>APS Model</t>
  </si>
  <si>
    <t>APS Revenue</t>
  </si>
  <si>
    <t>APS Services</t>
  </si>
  <si>
    <t>cloud fees, per quarter</t>
  </si>
  <si>
    <t>ICS first year per quarter</t>
  </si>
  <si>
    <t>during the quarter shown</t>
  </si>
  <si>
    <t>first year total</t>
  </si>
  <si>
    <t>Quarter</t>
  </si>
  <si>
    <t>Year 1 Prepay Discount Applies  ("Yes" or "No")</t>
  </si>
  <si>
    <t xml:space="preserve">First Year Discount for Prepay of ICS and cloud / NOC services </t>
  </si>
  <si>
    <t>Incremental Price (see chart)</t>
  </si>
  <si>
    <t>Breakeven for Year 1 - with Prepay</t>
  </si>
  <si>
    <t>Whole Year</t>
  </si>
  <si>
    <t>No</t>
  </si>
  <si>
    <t>Take across all consumer subs</t>
  </si>
  <si>
    <t>Not offered to Commercial</t>
  </si>
  <si>
    <t>Unit Cost</t>
  </si>
  <si>
    <t>Extended</t>
  </si>
  <si>
    <t>Whole year @200</t>
  </si>
  <si>
    <t>CPE: Buy with MFA</t>
  </si>
  <si>
    <t>20/3</t>
  </si>
  <si>
    <t>no</t>
  </si>
  <si>
    <t>20/10</t>
  </si>
  <si>
    <t>Check</t>
  </si>
  <si>
    <t>Line #</t>
  </si>
  <si>
    <t>ICS Charge per 1 x Mbs capacity  ($ 99.50 for 50Mbs DIA Capacity)</t>
  </si>
  <si>
    <t>This is intended to be a general business case, individual results will vary</t>
  </si>
  <si>
    <t>Yes</t>
  </si>
  <si>
    <t xml:space="preserve">Subscribers Needed for Breakeven Year 1 </t>
  </si>
  <si>
    <t>Monthly Tower Lease, Macro  /Pico Plus Site up to 8 x BST ($600 - $900 average)</t>
  </si>
  <si>
    <t>DIA Capacity Scratchpad  - 36 month term</t>
  </si>
  <si>
    <t>Above, calcuated from the DL capacity on th e Macro for mix, adjust for oversubsciption, discounted to 200 or 1Mbs per sub.</t>
  </si>
  <si>
    <t>Each</t>
  </si>
  <si>
    <t>each</t>
  </si>
  <si>
    <t>After 500 subs, discount the DIA for every 100 additional</t>
  </si>
  <si>
    <t>Mbs</t>
  </si>
  <si>
    <t>Uncapped</t>
  </si>
  <si>
    <t>Magnum Business 5 G</t>
  </si>
  <si>
    <t>Average Cloud Service Fee (only) per sub</t>
  </si>
  <si>
    <t>Note: ICS fees are waived for the first  months of operation and are not part of the amount shown above</t>
  </si>
  <si>
    <t>Magnum (5G)</t>
  </si>
  <si>
    <t>Premium (3.65G)</t>
  </si>
  <si>
    <t>Extra (3.65G)</t>
  </si>
  <si>
    <t>Magnum (3.65G)</t>
  </si>
  <si>
    <t xml:space="preserve">Single Macro Antenna site with 6 x Base Stations (200 sub capacity) </t>
  </si>
  <si>
    <t>Single Pico Plus Antenna Site with 2 x Base Stations (66 subs capacity)</t>
  </si>
  <si>
    <t>Single Pico Antenna site with 1 x Base Station (33 sub capacity)</t>
  </si>
  <si>
    <t>Site Buildout Model - Macro</t>
  </si>
  <si>
    <t>Macro</t>
  </si>
  <si>
    <t>Site Buildout Model - Macro Light</t>
  </si>
  <si>
    <t>CPE Capital Cost (blended) for Macro</t>
  </si>
  <si>
    <t>CPE Capital Cost (blended) for Macro Light</t>
  </si>
  <si>
    <t>Subscriber Revenue Model for Fully Loaded 6 x Base Station Macro Site, Monthly</t>
  </si>
  <si>
    <t>Customer Cost Model - synKro Cloud &amp; NOC Services for Macro -200 subscribers</t>
  </si>
  <si>
    <t>Customer Cost Model - Subscriber Modems for 200 subscribers - Macro</t>
  </si>
  <si>
    <t>Plus (3.65G)</t>
  </si>
  <si>
    <t>CPE Lease 100 full year</t>
  </si>
  <si>
    <t>Macro Light Buildout site with standard licensed PtP</t>
  </si>
  <si>
    <t>Buildout</t>
  </si>
  <si>
    <t>Site Capex  Event</t>
  </si>
  <si>
    <t>Subscriber Revenue Model for Fully Loaded 4 x Base Station Macro Light Site, Monthly</t>
  </si>
  <si>
    <t>Customer Cost Model - synKro Cloud &amp; NOC Services for Macro Light -132 subscribers</t>
  </si>
  <si>
    <t>Subscriber Capacity for macro light</t>
  </si>
  <si>
    <t>Subscriber Capacity Macro</t>
  </si>
  <si>
    <t>Admin Fee</t>
  </si>
  <si>
    <t>Take Rate</t>
  </si>
  <si>
    <t>Other recurring revenue for consumer</t>
  </si>
  <si>
    <t>Fee #3</t>
  </si>
  <si>
    <t>Fee #2</t>
  </si>
  <si>
    <t>Monthly Service Revenue  (ARPU) for full year at capacity</t>
  </si>
  <si>
    <t>Subtotal, Other</t>
  </si>
  <si>
    <t>Single Macro Light Antenna site with 4 x Base Stations (132 sub capacity)</t>
  </si>
  <si>
    <t>Customer Cost Model - Subscriber Modems for 132 subscribers - Macro Light</t>
  </si>
  <si>
    <t>Overbuild</t>
  </si>
  <si>
    <t>Capex</t>
  </si>
  <si>
    <t>Cap Step</t>
  </si>
  <si>
    <t>For the count less than the capacity shown</t>
  </si>
  <si>
    <t>Next quarter delta</t>
  </si>
  <si>
    <t>Cum</t>
  </si>
  <si>
    <t>Macro Light Antenna site upgrade for subscribers 133 -200</t>
  </si>
  <si>
    <t>Cap step</t>
  </si>
  <si>
    <t>Cum Capex</t>
  </si>
  <si>
    <t>installed capacity, quarter start</t>
  </si>
  <si>
    <t>end of quarter capacity</t>
  </si>
  <si>
    <t>subs at end of quarter</t>
  </si>
  <si>
    <t>Next capacity</t>
  </si>
  <si>
    <t>capacity step logic</t>
  </si>
  <si>
    <t>Site BuildsCount</t>
  </si>
  <si>
    <t>Capex event</t>
  </si>
  <si>
    <t xml:space="preserve">   Capital for Antenna Site  per year</t>
  </si>
  <si>
    <t>Lease Factor (divide capex by this factor to get monthly payment amount), 48 month term, interest 8% per annum.</t>
  </si>
  <si>
    <t>Plus</t>
  </si>
  <si>
    <t>Yearly Tower Lease Cost &amp; Direct Internet Access (DIA)</t>
  </si>
  <si>
    <t xml:space="preserve">Whole year synKro cloud &amp; NOC services, including Intelligent Capacity Services. </t>
  </si>
  <si>
    <t>NUMBER OF SUBSCRIBERS, END OF YEAR (6 month ramp in Year1)</t>
  </si>
  <si>
    <t>Average Monthly Revenue Per User (ARPU)</t>
  </si>
  <si>
    <t>Macro Light - 4 radio sectors, 132 subscriber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</si>
</sst>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_);\(0.00\)"/>
    <numFmt numFmtId="167" formatCode="_(* #,##0_);_(* \(#,##0\);_(* &quot;-&quot;??_);_(@_)"/>
    <numFmt numFmtId="168" formatCode="0.0000000"/>
    <numFmt numFmtId="169" formatCode="0.0%"/>
  </numFmts>
  <fonts count="29" x14ac:knownFonts="1">
    <font>
      <sz val="10"/>
      <name val="Arial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8"/>
      <name val="Calibri"/>
      <family val="2"/>
    </font>
    <font>
      <i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color indexed="10"/>
      <name val="Arial"/>
      <family val="2"/>
    </font>
    <font>
      <u/>
      <sz val="10"/>
      <color rgb="FFFF0000"/>
      <name val="Arial"/>
      <family val="2"/>
    </font>
    <font>
      <sz val="10"/>
      <name val="Arial"/>
    </font>
    <font>
      <b/>
      <sz val="10"/>
      <color theme="9"/>
      <name val="Arial"/>
      <family val="2"/>
    </font>
    <font>
      <sz val="10"/>
      <color theme="2" tint="-0.249977111117893"/>
      <name val="Arial"/>
      <family val="2"/>
    </font>
    <font>
      <b/>
      <sz val="12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u/>
      <sz val="10"/>
      <color theme="1" tint="0.34998626667073579"/>
      <name val="Arial"/>
      <family val="2"/>
    </font>
    <font>
      <u val="singleAccounting"/>
      <sz val="10"/>
      <color theme="1" tint="0.34998626667073579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/>
    <xf numFmtId="6" fontId="0" fillId="0" borderId="0" xfId="0" applyNumberFormat="1"/>
    <xf numFmtId="0" fontId="2" fillId="0" borderId="0" xfId="0" applyFont="1"/>
    <xf numFmtId="0" fontId="3" fillId="0" borderId="0" xfId="0" applyFont="1"/>
    <xf numFmtId="0" fontId="5" fillId="0" borderId="0" xfId="0" applyFont="1"/>
    <xf numFmtId="43" fontId="0" fillId="0" borderId="0" xfId="0" applyNumberFormat="1"/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horizontal="center" vertical="top" wrapText="1"/>
    </xf>
    <xf numFmtId="167" fontId="0" fillId="0" borderId="0" xfId="1" applyNumberFormat="1" applyFont="1"/>
    <xf numFmtId="0" fontId="6" fillId="0" borderId="0" xfId="0" applyFont="1"/>
    <xf numFmtId="167" fontId="0" fillId="0" borderId="0" xfId="0" applyNumberFormat="1"/>
    <xf numFmtId="1" fontId="0" fillId="0" borderId="0" xfId="0" applyNumberFormat="1"/>
    <xf numFmtId="3" fontId="6" fillId="0" borderId="0" xfId="0" applyNumberFormat="1" applyFont="1"/>
    <xf numFmtId="4" fontId="0" fillId="0" borderId="0" xfId="0" applyNumberFormat="1"/>
    <xf numFmtId="164" fontId="6" fillId="0" borderId="0" xfId="0" applyNumberFormat="1" applyFont="1" applyAlignment="1">
      <alignment horizontal="center"/>
    </xf>
    <xf numFmtId="1" fontId="0" fillId="0" borderId="0" xfId="1" applyNumberFormat="1" applyFont="1"/>
    <xf numFmtId="0" fontId="9" fillId="0" borderId="0" xfId="0" applyFont="1"/>
    <xf numFmtId="0" fontId="1" fillId="0" borderId="0" xfId="0" applyFont="1"/>
    <xf numFmtId="5" fontId="5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11" fillId="0" borderId="0" xfId="0" applyFont="1"/>
    <xf numFmtId="0" fontId="12" fillId="0" borderId="0" xfId="0" applyFont="1"/>
    <xf numFmtId="0" fontId="13" fillId="0" borderId="0" xfId="0" applyFont="1"/>
    <xf numFmtId="49" fontId="12" fillId="0" borderId="0" xfId="0" applyNumberFormat="1" applyFont="1" applyAlignment="1">
      <alignment vertical="top" wrapText="1"/>
    </xf>
    <xf numFmtId="0" fontId="14" fillId="0" borderId="0" xfId="0" applyFont="1"/>
    <xf numFmtId="164" fontId="14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right"/>
    </xf>
    <xf numFmtId="165" fontId="14" fillId="0" borderId="0" xfId="0" applyNumberFormat="1" applyFont="1"/>
    <xf numFmtId="165" fontId="12" fillId="0" borderId="0" xfId="0" applyNumberFormat="1" applyFont="1"/>
    <xf numFmtId="0" fontId="12" fillId="0" borderId="0" xfId="0" applyFont="1" applyAlignment="1">
      <alignment horizontal="left" vertical="top" wrapText="1"/>
    </xf>
    <xf numFmtId="0" fontId="15" fillId="0" borderId="0" xfId="0" applyFont="1"/>
    <xf numFmtId="168" fontId="13" fillId="0" borderId="0" xfId="0" applyNumberFormat="1" applyFont="1"/>
    <xf numFmtId="9" fontId="14" fillId="0" borderId="0" xfId="0" applyNumberFormat="1" applyFont="1"/>
    <xf numFmtId="6" fontId="14" fillId="0" borderId="0" xfId="0" applyNumberFormat="1" applyFont="1"/>
    <xf numFmtId="1" fontId="12" fillId="0" borderId="0" xfId="0" applyNumberFormat="1" applyFont="1"/>
    <xf numFmtId="6" fontId="12" fillId="0" borderId="0" xfId="0" applyNumberFormat="1" applyFont="1"/>
    <xf numFmtId="6" fontId="15" fillId="0" borderId="0" xfId="0" applyNumberFormat="1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3" fontId="12" fillId="0" borderId="0" xfId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37" fontId="12" fillId="0" borderId="0" xfId="1" applyNumberFormat="1" applyFont="1" applyAlignment="1">
      <alignment horizontal="left" vertical="center"/>
    </xf>
    <xf numFmtId="9" fontId="12" fillId="0" borderId="0" xfId="2" applyFont="1"/>
    <xf numFmtId="0" fontId="16" fillId="0" borderId="0" xfId="0" applyFont="1"/>
    <xf numFmtId="49" fontId="13" fillId="0" borderId="0" xfId="0" applyNumberFormat="1" applyFont="1" applyAlignment="1">
      <alignment horizontal="left" vertical="top" wrapText="1"/>
    </xf>
    <xf numFmtId="37" fontId="17" fillId="0" borderId="0" xfId="1" applyNumberFormat="1" applyFont="1" applyAlignment="1">
      <alignment horizontal="left" vertical="center"/>
    </xf>
    <xf numFmtId="43" fontId="17" fillId="0" borderId="0" xfId="1" applyFont="1" applyAlignment="1">
      <alignment horizontal="left" vertical="center"/>
    </xf>
    <xf numFmtId="43" fontId="18" fillId="0" borderId="0" xfId="1" applyFont="1" applyAlignment="1">
      <alignment horizontal="left" vertical="center"/>
    </xf>
    <xf numFmtId="164" fontId="12" fillId="0" borderId="0" xfId="0" applyNumberFormat="1" applyFont="1"/>
    <xf numFmtId="37" fontId="12" fillId="0" borderId="0" xfId="0" applyNumberFormat="1" applyFont="1"/>
    <xf numFmtId="43" fontId="12" fillId="0" borderId="0" xfId="0" applyNumberFormat="1" applyFont="1" applyAlignment="1">
      <alignment horizontal="left" vertical="center"/>
    </xf>
    <xf numFmtId="9" fontId="12" fillId="0" borderId="0" xfId="0" applyNumberFormat="1" applyFont="1"/>
    <xf numFmtId="43" fontId="12" fillId="0" borderId="0" xfId="0" applyNumberFormat="1" applyFont="1"/>
    <xf numFmtId="49" fontId="12" fillId="0" borderId="0" xfId="0" applyNumberFormat="1" applyFont="1"/>
    <xf numFmtId="2" fontId="12" fillId="0" borderId="0" xfId="0" applyNumberFormat="1" applyFont="1"/>
    <xf numFmtId="2" fontId="17" fillId="0" borderId="0" xfId="0" applyNumberFormat="1" applyFont="1"/>
    <xf numFmtId="165" fontId="13" fillId="0" borderId="0" xfId="0" applyNumberFormat="1" applyFont="1"/>
    <xf numFmtId="37" fontId="12" fillId="0" borderId="0" xfId="0" applyNumberFormat="1" applyFont="1" applyAlignment="1">
      <alignment horizontal="left" vertical="center"/>
    </xf>
    <xf numFmtId="166" fontId="12" fillId="0" borderId="0" xfId="1" applyNumberFormat="1" applyFont="1"/>
    <xf numFmtId="167" fontId="12" fillId="0" borderId="0" xfId="1" applyNumberFormat="1" applyFont="1"/>
    <xf numFmtId="167" fontId="12" fillId="0" borderId="0" xfId="0" applyNumberFormat="1" applyFont="1"/>
    <xf numFmtId="167" fontId="19" fillId="0" borderId="0" xfId="1" applyNumberFormat="1" applyFont="1"/>
    <xf numFmtId="0" fontId="13" fillId="0" borderId="0" xfId="0" applyFont="1" applyAlignment="1">
      <alignment horizontal="left" vertical="center"/>
    </xf>
    <xf numFmtId="43" fontId="18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9" fontId="12" fillId="0" borderId="0" xfId="0" applyNumberFormat="1" applyFont="1" applyAlignment="1">
      <alignment vertical="center"/>
    </xf>
    <xf numFmtId="37" fontId="14" fillId="0" borderId="0" xfId="1" applyNumberFormat="1" applyFont="1" applyAlignment="1">
      <alignment horizontal="left" vertical="center"/>
    </xf>
    <xf numFmtId="37" fontId="20" fillId="0" borderId="0" xfId="1" applyNumberFormat="1" applyFont="1" applyAlignment="1">
      <alignment horizontal="left" vertical="center"/>
    </xf>
    <xf numFmtId="43" fontId="14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14" fillId="0" borderId="0" xfId="0" applyNumberFormat="1" applyFont="1"/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44" fontId="14" fillId="0" borderId="0" xfId="3" applyFont="1"/>
    <xf numFmtId="44" fontId="12" fillId="0" borderId="0" xfId="0" applyNumberFormat="1" applyFont="1"/>
    <xf numFmtId="43" fontId="5" fillId="0" borderId="0" xfId="0" applyNumberFormat="1" applyFont="1" applyAlignment="1">
      <alignment horizontal="left" vertical="center"/>
    </xf>
    <xf numFmtId="164" fontId="1" fillId="0" borderId="0" xfId="0" applyNumberFormat="1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167" fontId="1" fillId="0" borderId="0" xfId="0" applyNumberFormat="1" applyFont="1"/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49" fontId="0" fillId="0" borderId="0" xfId="0" applyNumberForma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9" fontId="5" fillId="0" borderId="0" xfId="2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9" fontId="0" fillId="0" borderId="0" xfId="0" applyNumberFormat="1"/>
    <xf numFmtId="166" fontId="1" fillId="0" borderId="0" xfId="1" applyNumberFormat="1"/>
    <xf numFmtId="43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/>
    <xf numFmtId="9" fontId="23" fillId="0" borderId="0" xfId="0" applyNumberFormat="1" applyFont="1" applyAlignment="1">
      <alignment vertical="center"/>
    </xf>
    <xf numFmtId="165" fontId="14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/>
    <xf numFmtId="37" fontId="1" fillId="0" borderId="0" xfId="0" applyNumberFormat="1" applyFont="1"/>
    <xf numFmtId="167" fontId="1" fillId="0" borderId="0" xfId="1" applyNumberFormat="1"/>
    <xf numFmtId="37" fontId="17" fillId="0" borderId="0" xfId="0" applyNumberFormat="1" applyFont="1"/>
    <xf numFmtId="9" fontId="1" fillId="0" borderId="0" xfId="0" applyNumberFormat="1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left" vertical="center"/>
    </xf>
    <xf numFmtId="43" fontId="25" fillId="0" borderId="0" xfId="1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37" fontId="25" fillId="0" borderId="0" xfId="1" applyNumberFormat="1" applyFont="1" applyAlignment="1">
      <alignment horizontal="left" vertical="center"/>
    </xf>
    <xf numFmtId="37" fontId="26" fillId="0" borderId="0" xfId="1" applyNumberFormat="1" applyFont="1" applyAlignment="1">
      <alignment horizontal="left" vertical="center"/>
    </xf>
    <xf numFmtId="43" fontId="26" fillId="0" borderId="0" xfId="1" applyFont="1" applyAlignment="1">
      <alignment horizontal="left" vertical="center"/>
    </xf>
    <xf numFmtId="43" fontId="27" fillId="0" borderId="0" xfId="1" applyFont="1" applyAlignment="1">
      <alignment horizontal="left" vertical="center"/>
    </xf>
    <xf numFmtId="37" fontId="25" fillId="0" borderId="0" xfId="0" applyNumberFormat="1" applyFont="1" applyAlignment="1">
      <alignment horizontal="left" vertical="center"/>
    </xf>
    <xf numFmtId="43" fontId="25" fillId="0" borderId="0" xfId="0" applyNumberFormat="1" applyFont="1" applyAlignment="1">
      <alignment horizontal="left" vertical="center"/>
    </xf>
    <xf numFmtId="2" fontId="25" fillId="0" borderId="0" xfId="0" applyNumberFormat="1" applyFont="1"/>
    <xf numFmtId="37" fontId="25" fillId="0" borderId="0" xfId="0" applyNumberFormat="1" applyFont="1"/>
    <xf numFmtId="2" fontId="26" fillId="0" borderId="0" xfId="0" applyNumberFormat="1" applyFont="1"/>
    <xf numFmtId="43" fontId="27" fillId="0" borderId="0" xfId="0" applyNumberFormat="1" applyFont="1" applyAlignment="1">
      <alignment horizontal="left" vertical="center"/>
    </xf>
    <xf numFmtId="43" fontId="0" fillId="0" borderId="0" xfId="0" applyNumberFormat="1" applyAlignment="1">
      <alignment vertic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28" fillId="0" borderId="0" xfId="0" applyFont="1"/>
    <xf numFmtId="1" fontId="28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49" fontId="13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4"/>
  <sheetViews>
    <sheetView tabSelected="1" zoomScaleNormal="100" zoomScalePageLayoutView="150" workbookViewId="0">
      <selection activeCell="H6" sqref="H6"/>
    </sheetView>
  </sheetViews>
  <sheetFormatPr defaultColWidth="9.08984375" defaultRowHeight="12.5" x14ac:dyDescent="0.25"/>
  <cols>
    <col min="2" max="2" width="59.1796875" customWidth="1"/>
    <col min="3" max="3" width="12.90625" customWidth="1"/>
    <col min="4" max="4" width="13" customWidth="1"/>
    <col min="5" max="5" width="13.08984375" customWidth="1"/>
    <col min="6" max="6" width="12.08984375" customWidth="1"/>
    <col min="7" max="7" width="13.08984375" customWidth="1"/>
    <col min="8" max="8" width="12.90625" customWidth="1"/>
  </cols>
  <sheetData>
    <row r="1" spans="1:8" ht="18.5" x14ac:dyDescent="0.45">
      <c r="B1" s="5" t="s">
        <v>32</v>
      </c>
    </row>
    <row r="2" spans="1:8" ht="15" customHeight="1" x14ac:dyDescent="0.3">
      <c r="B2" s="7" t="s">
        <v>168</v>
      </c>
      <c r="C2" s="136">
        <v>1</v>
      </c>
      <c r="D2" s="136">
        <v>2</v>
      </c>
      <c r="E2" s="136">
        <v>3</v>
      </c>
      <c r="F2" s="136">
        <v>4</v>
      </c>
      <c r="G2" s="136">
        <v>5</v>
      </c>
    </row>
    <row r="3" spans="1:8" ht="12.75" customHeight="1" x14ac:dyDescent="0.25">
      <c r="B3" s="136">
        <v>132</v>
      </c>
      <c r="C3" s="137">
        <f>C2*$B$3</f>
        <v>132</v>
      </c>
      <c r="D3" s="137">
        <f t="shared" ref="D3:G3" si="0">D2*$B$3</f>
        <v>264</v>
      </c>
      <c r="E3" s="137">
        <f t="shared" si="0"/>
        <v>396</v>
      </c>
      <c r="F3" s="137">
        <f t="shared" si="0"/>
        <v>528</v>
      </c>
      <c r="G3" s="137">
        <f t="shared" si="0"/>
        <v>660</v>
      </c>
      <c r="H3" s="14"/>
    </row>
    <row r="4" spans="1:8" ht="12.75" customHeight="1" x14ac:dyDescent="0.3">
      <c r="A4" s="98" t="s">
        <v>96</v>
      </c>
      <c r="C4" s="99" t="s">
        <v>44</v>
      </c>
      <c r="D4" s="99" t="s">
        <v>45</v>
      </c>
      <c r="E4" s="99" t="s">
        <v>46</v>
      </c>
      <c r="F4" s="99" t="s">
        <v>47</v>
      </c>
      <c r="G4" s="99" t="s">
        <v>49</v>
      </c>
      <c r="H4" s="100" t="s">
        <v>84</v>
      </c>
    </row>
    <row r="5" spans="1:8" ht="14.5" x14ac:dyDescent="0.35">
      <c r="A5" s="1">
        <v>1</v>
      </c>
      <c r="B5" s="9" t="s">
        <v>0</v>
      </c>
      <c r="C5" s="101"/>
      <c r="D5" s="99"/>
      <c r="E5" s="99"/>
      <c r="F5" s="99"/>
    </row>
    <row r="6" spans="1:8" ht="12.75" customHeight="1" x14ac:dyDescent="0.25">
      <c r="A6" s="1">
        <f>A5+1</f>
        <v>2</v>
      </c>
      <c r="B6" s="90" t="s">
        <v>166</v>
      </c>
      <c r="C6" s="23">
        <v>132</v>
      </c>
      <c r="D6" s="23">
        <v>264</v>
      </c>
      <c r="E6" s="23">
        <v>480</v>
      </c>
      <c r="F6" s="23">
        <v>960</v>
      </c>
      <c r="G6" s="23">
        <v>1920</v>
      </c>
      <c r="H6" s="23">
        <v>132</v>
      </c>
    </row>
    <row r="7" spans="1:8" x14ac:dyDescent="0.25">
      <c r="A7" s="1">
        <f t="shared" ref="A7:A34" si="1">A6+1</f>
        <v>3</v>
      </c>
      <c r="B7" s="91" t="s">
        <v>24</v>
      </c>
      <c r="C7" s="10"/>
      <c r="D7" s="10"/>
      <c r="E7" s="10"/>
      <c r="F7" s="10"/>
      <c r="H7" s="1"/>
    </row>
    <row r="8" spans="1:8" ht="12" customHeight="1" x14ac:dyDescent="0.25">
      <c r="A8" s="1">
        <f t="shared" si="1"/>
        <v>4</v>
      </c>
      <c r="B8" s="91" t="s">
        <v>167</v>
      </c>
      <c r="C8" s="133">
        <f>Assumptions!$E$89</f>
        <v>79.462121212121218</v>
      </c>
      <c r="D8" s="133">
        <f>Assumptions!$E$89</f>
        <v>79.462121212121218</v>
      </c>
      <c r="E8" s="133">
        <f>Assumptions!$E$89</f>
        <v>79.462121212121218</v>
      </c>
      <c r="F8" s="133">
        <f>Assumptions!$E$89</f>
        <v>79.462121212121218</v>
      </c>
      <c r="G8" s="133">
        <f>Assumptions!$E$89</f>
        <v>79.462121212121218</v>
      </c>
      <c r="H8" s="133">
        <f>Assumptions!$E$89</f>
        <v>79.462121212121218</v>
      </c>
    </row>
    <row r="9" spans="1:8" ht="14.15" customHeight="1" x14ac:dyDescent="0.3">
      <c r="A9" s="1">
        <f t="shared" si="1"/>
        <v>5</v>
      </c>
      <c r="B9" s="91" t="s">
        <v>1</v>
      </c>
      <c r="C9" s="92">
        <f>((C8*C6)*(21/6))+(6*C6*C8)</f>
        <v>99645.5</v>
      </c>
      <c r="D9" s="92">
        <f>(12*C6*D8)+78*D8*(D6-C6)/12</f>
        <v>194046.5</v>
      </c>
      <c r="E9" s="92">
        <f>(12*D6*E8)+78*E8*(E6-D6)/12</f>
        <v>363300.81818181823</v>
      </c>
      <c r="F9" s="92">
        <f t="shared" ref="F9:G9" si="2">(12*E6*F8)+78*F8*(F6-E6)/12</f>
        <v>705623.63636363647</v>
      </c>
      <c r="G9" s="92">
        <f t="shared" si="2"/>
        <v>1411247.2727272729</v>
      </c>
      <c r="H9" s="21">
        <f>H6*H8*12</f>
        <v>125868</v>
      </c>
    </row>
    <row r="10" spans="1:8" ht="14.15" hidden="1" customHeight="1" x14ac:dyDescent="0.25">
      <c r="A10" s="1">
        <f t="shared" si="1"/>
        <v>6</v>
      </c>
      <c r="B10" s="91"/>
      <c r="C10" s="1"/>
      <c r="D10" s="1"/>
      <c r="E10" s="1"/>
      <c r="F10" s="1"/>
      <c r="H10" s="1"/>
    </row>
    <row r="11" spans="1:8" ht="13" hidden="1" x14ac:dyDescent="0.3">
      <c r="A11" s="1">
        <f t="shared" si="1"/>
        <v>7</v>
      </c>
      <c r="B11" s="93" t="s">
        <v>25</v>
      </c>
      <c r="C11" s="1"/>
      <c r="D11" s="1"/>
      <c r="E11" s="1"/>
      <c r="F11" s="1"/>
      <c r="H11" s="1"/>
    </row>
    <row r="12" spans="1:8" hidden="1" x14ac:dyDescent="0.25">
      <c r="A12" s="1">
        <f t="shared" si="1"/>
        <v>8</v>
      </c>
      <c r="B12" s="90" t="s">
        <v>161</v>
      </c>
      <c r="C12" s="17">
        <f>SUM('Macro Light -Time Line'!E13:H13)</f>
        <v>77916</v>
      </c>
      <c r="D12" s="17">
        <f>SUM('Macro Light -Time Line'!I13:L13)</f>
        <v>59023</v>
      </c>
      <c r="E12" s="17">
        <f>SUM('Macro Light -Time Line'!M13:P13)</f>
        <v>96809</v>
      </c>
      <c r="F12" s="17">
        <f>SUM('Macro Light -Time Line'!Q13:T13)</f>
        <v>155832</v>
      </c>
      <c r="G12" s="17">
        <f>SUM('Macro Light -Time Line'!U13:X13)</f>
        <v>155832</v>
      </c>
      <c r="H12" s="2">
        <f>Assumptions!I7</f>
        <v>59023</v>
      </c>
    </row>
    <row r="13" spans="1:8" hidden="1" x14ac:dyDescent="0.25">
      <c r="A13" s="1">
        <f t="shared" si="1"/>
        <v>9</v>
      </c>
      <c r="B13" s="94" t="s">
        <v>59</v>
      </c>
      <c r="C13" s="17">
        <f>SUM('Macro Light -Time Line'!E18:H18)</f>
        <v>42146.694545454549</v>
      </c>
      <c r="D13" s="17">
        <f>SUM('Macro Light -Time Line'!I18:L18)</f>
        <v>46972</v>
      </c>
      <c r="E13" s="17">
        <f>SUM('Macro Light -Time Line'!M18:P18)</f>
        <v>76863.272727272735</v>
      </c>
      <c r="F13" s="17">
        <f>SUM('Macro Light -Time Line'!Q18:T18)</f>
        <v>170807.27272727274</v>
      </c>
      <c r="G13" s="17">
        <f>SUM('Macro Light -Time Line'!U18:X18)</f>
        <v>341614.54545454547</v>
      </c>
      <c r="H13" s="17">
        <f>H6*Assumptions!I13</f>
        <v>45689.159999999996</v>
      </c>
    </row>
    <row r="14" spans="1:8" ht="15" customHeight="1" x14ac:dyDescent="0.25">
      <c r="A14" s="1"/>
      <c r="B14" s="91"/>
      <c r="C14" s="8"/>
      <c r="D14" s="1"/>
      <c r="E14" s="1"/>
      <c r="F14" s="1"/>
      <c r="H14" s="1"/>
    </row>
    <row r="15" spans="1:8" ht="17.149999999999999" customHeight="1" x14ac:dyDescent="0.35">
      <c r="A15" s="1">
        <v>6</v>
      </c>
      <c r="B15" s="9" t="s">
        <v>2</v>
      </c>
      <c r="C15" s="2"/>
      <c r="D15" s="2"/>
      <c r="E15" s="2"/>
      <c r="F15" s="2"/>
      <c r="H15" s="1"/>
    </row>
    <row r="16" spans="1:8" ht="25" x14ac:dyDescent="0.25">
      <c r="A16" s="1">
        <f t="shared" si="1"/>
        <v>7</v>
      </c>
      <c r="B16" s="94" t="s">
        <v>70</v>
      </c>
      <c r="C16" s="17">
        <f>SUM('Macro Light -Time Line'!E22:H22)</f>
        <v>25982.715909090912</v>
      </c>
      <c r="D16" s="17">
        <f>SUM('Macro Light -Time Line'!I22:L22)</f>
        <v>56072.982510653412</v>
      </c>
      <c r="E16" s="17">
        <f>SUM('Macro Light -Time Line'!M22:P22)</f>
        <v>99518.283913352265</v>
      </c>
      <c r="F16" s="17">
        <f>SUM('Macro Light -Time Line'!Q22:T22)</f>
        <v>179185.64897017047</v>
      </c>
      <c r="G16" s="17">
        <f>SUM('Macro Light -Time Line'!U22:X22)</f>
        <v>275302.39373224438</v>
      </c>
      <c r="H16" s="2">
        <f>12*(H12+H13)/Assumptions!I21</f>
        <v>30677.390624999996</v>
      </c>
    </row>
    <row r="17" spans="1:8" ht="15" customHeight="1" x14ac:dyDescent="0.25">
      <c r="A17" s="1">
        <f t="shared" si="1"/>
        <v>8</v>
      </c>
      <c r="B17" s="96" t="s">
        <v>164</v>
      </c>
      <c r="C17" s="17">
        <f>SUM('Macro Light -Time Line'!E26:H26)</f>
        <v>21750</v>
      </c>
      <c r="D17" s="17">
        <f>SUM('Macro Light -Time Line'!I26:L26)</f>
        <v>36450</v>
      </c>
      <c r="E17" s="17">
        <f>SUM('Macro Light -Time Line'!M26:P26)</f>
        <v>63570</v>
      </c>
      <c r="F17" s="17">
        <f>SUM('Macro Light -Time Line'!Q26:T26)</f>
        <v>107842.5</v>
      </c>
      <c r="G17" s="17">
        <f>SUM('Macro Light -Time Line'!U26:X26)</f>
        <v>171290.25</v>
      </c>
      <c r="H17" s="2">
        <f>4*'Macro Light -Time Line'!H26</f>
        <v>27600</v>
      </c>
    </row>
    <row r="18" spans="1:8" ht="25" x14ac:dyDescent="0.25">
      <c r="A18" s="1">
        <f t="shared" si="1"/>
        <v>9</v>
      </c>
      <c r="B18" s="96" t="s">
        <v>165</v>
      </c>
      <c r="C18" s="17">
        <f>SUM('Macro Light -Time Line'!E35:H35)</f>
        <v>14081.460000000003</v>
      </c>
      <c r="D18" s="17">
        <f>SUM('Macro Light -Time Line'!I35:L35)</f>
        <v>32845</v>
      </c>
      <c r="E18" s="17">
        <f>SUM('Macro Light -Time Line'!M35:P35)</f>
        <v>62791.272727272721</v>
      </c>
      <c r="F18" s="17">
        <f>SUM('Macro Light -Time Line'!Q35:T35)</f>
        <v>124022.40909090909</v>
      </c>
      <c r="G18" s="17">
        <f>SUM('Macro Light -Time Line'!U35:X35)</f>
        <v>248014.96818181817</v>
      </c>
      <c r="H18" s="17">
        <f>'Macro Light -Time Line'!D31</f>
        <v>20396.000000000004</v>
      </c>
    </row>
    <row r="19" spans="1:8" x14ac:dyDescent="0.25">
      <c r="A19" s="1"/>
      <c r="B19" s="95"/>
      <c r="C19" s="22"/>
      <c r="D19" s="17"/>
      <c r="E19" s="17"/>
      <c r="F19" s="17"/>
      <c r="G19" s="17"/>
      <c r="H19" s="17"/>
    </row>
    <row r="20" spans="1:8" ht="14.5" x14ac:dyDescent="0.35">
      <c r="A20" s="1">
        <v>10</v>
      </c>
      <c r="B20" s="9" t="s">
        <v>27</v>
      </c>
      <c r="C20" s="2">
        <f>C16+C17+C18</f>
        <v>61814.175909090918</v>
      </c>
      <c r="D20" s="2">
        <f t="shared" ref="D20:F20" si="3">D16+D17+D18</f>
        <v>125367.98251065341</v>
      </c>
      <c r="E20" s="2">
        <f t="shared" si="3"/>
        <v>225879.556640625</v>
      </c>
      <c r="F20" s="2">
        <f t="shared" si="3"/>
        <v>411050.55806107959</v>
      </c>
      <c r="G20" s="2">
        <f>G16+G17+G18</f>
        <v>694607.61191406252</v>
      </c>
      <c r="H20" s="2">
        <f>H16+H17+H18</f>
        <v>78673.390625</v>
      </c>
    </row>
    <row r="21" spans="1:8" x14ac:dyDescent="0.25">
      <c r="A21" s="1"/>
      <c r="B21" s="91"/>
      <c r="C21" s="1"/>
      <c r="D21" s="1"/>
      <c r="E21" s="1"/>
      <c r="F21" s="1"/>
      <c r="H21" s="1"/>
    </row>
    <row r="22" spans="1:8" ht="14.5" x14ac:dyDescent="0.35">
      <c r="A22" s="1">
        <v>11</v>
      </c>
      <c r="B22" s="9" t="s">
        <v>30</v>
      </c>
      <c r="C22" s="92">
        <f t="shared" ref="C22:H22" si="4">C9-C20</f>
        <v>37831.324090909082</v>
      </c>
      <c r="D22" s="92">
        <f t="shared" si="4"/>
        <v>68678.517489346588</v>
      </c>
      <c r="E22" s="92">
        <f t="shared" si="4"/>
        <v>137421.26154119323</v>
      </c>
      <c r="F22" s="92">
        <f t="shared" si="4"/>
        <v>294573.07830255688</v>
      </c>
      <c r="G22" s="92">
        <f t="shared" si="4"/>
        <v>716639.66081321042</v>
      </c>
      <c r="H22" s="92">
        <f t="shared" si="4"/>
        <v>47194.609375</v>
      </c>
    </row>
    <row r="23" spans="1:8" ht="14.5" x14ac:dyDescent="0.35">
      <c r="A23" s="1">
        <v>12</v>
      </c>
      <c r="B23" s="9" t="s">
        <v>31</v>
      </c>
      <c r="C23" s="97">
        <f t="shared" ref="C23:H23" si="5">C22/C9</f>
        <v>0.37965913253392358</v>
      </c>
      <c r="D23" s="97">
        <f t="shared" si="5"/>
        <v>0.35392814345709195</v>
      </c>
      <c r="E23" s="97">
        <f t="shared" si="5"/>
        <v>0.3782575063522679</v>
      </c>
      <c r="F23" s="97">
        <f t="shared" si="5"/>
        <v>0.41746486812801636</v>
      </c>
      <c r="G23" s="97">
        <f t="shared" si="5"/>
        <v>0.50780587829111279</v>
      </c>
      <c r="H23" s="97">
        <f t="shared" si="5"/>
        <v>0.37495319997934345</v>
      </c>
    </row>
    <row r="24" spans="1:8" hidden="1" x14ac:dyDescent="0.25">
      <c r="A24" s="1">
        <f t="shared" si="1"/>
        <v>13</v>
      </c>
      <c r="H24" s="1"/>
    </row>
    <row r="25" spans="1:8" ht="14.5" hidden="1" x14ac:dyDescent="0.35">
      <c r="A25" s="1">
        <f t="shared" si="1"/>
        <v>14</v>
      </c>
      <c r="B25" s="6" t="s">
        <v>80</v>
      </c>
      <c r="C25" s="100" t="s">
        <v>85</v>
      </c>
      <c r="D25" s="1" t="s">
        <v>99</v>
      </c>
      <c r="E25" s="102" t="s">
        <v>85</v>
      </c>
      <c r="F25" s="102" t="s">
        <v>85</v>
      </c>
      <c r="G25" s="102" t="s">
        <v>85</v>
      </c>
      <c r="H25" s="1" t="s">
        <v>93</v>
      </c>
    </row>
    <row r="26" spans="1:8" hidden="1" x14ac:dyDescent="0.25">
      <c r="A26" s="1">
        <f t="shared" si="1"/>
        <v>15</v>
      </c>
      <c r="C26" s="103"/>
      <c r="H26" s="1"/>
    </row>
    <row r="27" spans="1:8" ht="15.5" hidden="1" x14ac:dyDescent="0.35">
      <c r="A27" s="1">
        <f t="shared" si="1"/>
        <v>16</v>
      </c>
      <c r="B27" s="19" t="s">
        <v>83</v>
      </c>
      <c r="C27" s="1">
        <v>84</v>
      </c>
      <c r="H27" s="1"/>
    </row>
    <row r="28" spans="1:8" ht="15.5" x14ac:dyDescent="0.35">
      <c r="A28" s="1">
        <v>13</v>
      </c>
      <c r="B28" s="19" t="s">
        <v>100</v>
      </c>
      <c r="C28" s="1">
        <v>62</v>
      </c>
      <c r="H28" s="1"/>
    </row>
    <row r="29" spans="1:8" ht="15" customHeight="1" x14ac:dyDescent="0.3">
      <c r="A29" s="1"/>
      <c r="B29" s="7" t="s">
        <v>98</v>
      </c>
      <c r="C29" s="7"/>
    </row>
    <row r="30" spans="1:8" ht="13" x14ac:dyDescent="0.3">
      <c r="A30" s="1"/>
      <c r="B30" s="7"/>
      <c r="C30" s="1"/>
    </row>
    <row r="31" spans="1:8" hidden="1" x14ac:dyDescent="0.25">
      <c r="A31" s="1">
        <f t="shared" si="1"/>
        <v>1</v>
      </c>
      <c r="C31">
        <v>200</v>
      </c>
      <c r="E31" s="134"/>
    </row>
    <row r="32" spans="1:8" hidden="1" x14ac:dyDescent="0.25">
      <c r="A32" s="1">
        <f t="shared" si="1"/>
        <v>2</v>
      </c>
      <c r="E32" s="134">
        <v>119228.36249999999</v>
      </c>
    </row>
    <row r="33" spans="1:5" hidden="1" x14ac:dyDescent="0.25">
      <c r="A33" s="1">
        <f t="shared" si="1"/>
        <v>3</v>
      </c>
      <c r="E33" s="134">
        <f>E31-E32</f>
        <v>-119228.36249999999</v>
      </c>
    </row>
    <row r="34" spans="1:5" hidden="1" x14ac:dyDescent="0.25">
      <c r="A34" s="1">
        <f t="shared" si="1"/>
        <v>4</v>
      </c>
      <c r="D34" s="135" t="s">
        <v>95</v>
      </c>
      <c r="E34" s="134">
        <f>E32+E33</f>
        <v>0</v>
      </c>
    </row>
  </sheetData>
  <sheetProtection algorithmName="SHA-512" hashValue="pq3baxM/KzWsYol1la2Bz0RkLqNl6hb/NXsmfjlwXdCKL91txS4UKQWIHVW3O/ou3Sbv03LzCDwCQs805bHIvA==" saltValue="5+krUzacppmJ4klOXPG7rw==" spinCount="100000" sheet="1" selectLockedCells="1"/>
  <pageMargins left="0.75" right="0.75" top="1" bottom="1" header="0.5" footer="0.5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188"/>
  <sheetViews>
    <sheetView topLeftCell="A149" zoomScale="75" zoomScaleNormal="75" zoomScalePageLayoutView="150" workbookViewId="0">
      <selection activeCell="F186" sqref="F186"/>
    </sheetView>
  </sheetViews>
  <sheetFormatPr defaultColWidth="8.90625" defaultRowHeight="12.5" x14ac:dyDescent="0.25"/>
  <cols>
    <col min="1" max="1" width="8.90625" style="25"/>
    <col min="2" max="2" width="21" style="25" customWidth="1"/>
    <col min="3" max="4" width="10.6328125" style="25" customWidth="1"/>
    <col min="5" max="5" width="10.36328125" style="25" customWidth="1"/>
    <col min="6" max="6" width="11.453125" style="25" customWidth="1"/>
    <col min="7" max="7" width="13.36328125" style="25" customWidth="1"/>
    <col min="8" max="8" width="8.90625" style="25"/>
    <col min="9" max="9" width="14" style="25" customWidth="1"/>
    <col min="10" max="10" width="9.453125" style="25" customWidth="1"/>
    <col min="11" max="11" width="9.08984375" style="25" customWidth="1"/>
    <col min="12" max="12" width="12" style="25" customWidth="1"/>
    <col min="13" max="13" width="14.08984375" style="25" customWidth="1"/>
    <col min="14" max="14" width="11.90625" style="25" customWidth="1"/>
    <col min="15" max="15" width="18.453125" style="25" customWidth="1"/>
    <col min="16" max="16" width="12.453125" style="25" customWidth="1"/>
    <col min="17" max="17" width="15.36328125" style="25" customWidth="1"/>
    <col min="18" max="18" width="13.81640625" style="25" customWidth="1"/>
    <col min="19" max="19" width="14.90625" style="25" customWidth="1"/>
    <col min="20" max="20" width="13.453125" style="25" customWidth="1"/>
    <col min="21" max="21" width="12.08984375" style="25" customWidth="1"/>
    <col min="22" max="22" width="12.36328125" style="25" customWidth="1"/>
    <col min="23" max="23" width="14.08984375" style="25" customWidth="1"/>
    <col min="24" max="16384" width="8.90625" style="25"/>
  </cols>
  <sheetData>
    <row r="1" spans="1:18" ht="15.5" x14ac:dyDescent="0.35">
      <c r="A1" s="24" t="s">
        <v>33</v>
      </c>
      <c r="K1" s="26" t="s">
        <v>102</v>
      </c>
    </row>
    <row r="3" spans="1:18" ht="12.75" customHeight="1" x14ac:dyDescent="0.25">
      <c r="B3" s="141" t="s">
        <v>34</v>
      </c>
      <c r="C3" s="141"/>
      <c r="D3" s="141"/>
      <c r="E3" s="141"/>
      <c r="F3" s="141"/>
      <c r="G3" s="141"/>
      <c r="H3" s="141"/>
      <c r="I3" s="27"/>
      <c r="L3" s="25" t="s">
        <v>37</v>
      </c>
      <c r="M3" s="25" t="s">
        <v>38</v>
      </c>
      <c r="N3" s="26" t="s">
        <v>104</v>
      </c>
    </row>
    <row r="4" spans="1:18" x14ac:dyDescent="0.25">
      <c r="B4" s="141"/>
      <c r="C4" s="141"/>
      <c r="D4" s="141"/>
      <c r="E4" s="141"/>
      <c r="F4" s="141"/>
      <c r="G4" s="141"/>
      <c r="H4" s="141"/>
      <c r="I4" s="27"/>
      <c r="L4" s="25">
        <v>50</v>
      </c>
      <c r="M4" s="28">
        <v>1200</v>
      </c>
    </row>
    <row r="5" spans="1:18" x14ac:dyDescent="0.25">
      <c r="B5" s="27"/>
      <c r="C5" s="27"/>
      <c r="D5" s="27"/>
      <c r="E5" s="27"/>
      <c r="F5" s="27"/>
      <c r="G5" s="27"/>
      <c r="H5" s="27"/>
      <c r="I5" s="27"/>
      <c r="L5" s="25">
        <v>100</v>
      </c>
      <c r="M5" s="28">
        <v>1000</v>
      </c>
    </row>
    <row r="6" spans="1:18" x14ac:dyDescent="0.25">
      <c r="B6" s="142" t="s">
        <v>116</v>
      </c>
      <c r="C6" s="143"/>
      <c r="D6" s="143"/>
      <c r="E6" s="143"/>
      <c r="F6" s="143"/>
      <c r="G6" s="143"/>
      <c r="I6" s="29">
        <v>62780</v>
      </c>
      <c r="L6" s="25">
        <v>200</v>
      </c>
      <c r="M6" s="28">
        <v>1500</v>
      </c>
      <c r="N6" s="28">
        <v>365</v>
      </c>
    </row>
    <row r="7" spans="1:18" x14ac:dyDescent="0.25">
      <c r="B7" s="79" t="s">
        <v>143</v>
      </c>
      <c r="C7" s="31"/>
      <c r="D7" s="31"/>
      <c r="E7" s="31"/>
      <c r="F7" s="31"/>
      <c r="G7" s="31"/>
      <c r="I7" s="29">
        <v>59023</v>
      </c>
      <c r="J7" s="29"/>
      <c r="L7" s="25">
        <v>500</v>
      </c>
      <c r="M7" s="25">
        <f>((L7-L6)/100)*$N$6+M6</f>
        <v>2595</v>
      </c>
      <c r="N7" s="25">
        <f>(M7-M6)/300</f>
        <v>3.65</v>
      </c>
      <c r="O7" s="26" t="s">
        <v>105</v>
      </c>
    </row>
    <row r="8" spans="1:18" x14ac:dyDescent="0.25">
      <c r="B8" s="30" t="s">
        <v>117</v>
      </c>
      <c r="C8" s="31"/>
      <c r="D8" s="31"/>
      <c r="E8" s="31"/>
      <c r="F8" s="31"/>
      <c r="G8" s="31"/>
      <c r="I8" s="29">
        <v>28707</v>
      </c>
      <c r="L8" s="25">
        <v>1000</v>
      </c>
      <c r="M8" s="25">
        <f>((L8-L7)/100)*$N$6+M7</f>
        <v>4420</v>
      </c>
      <c r="N8" s="25">
        <f>(M8-M7)/500</f>
        <v>3.65</v>
      </c>
    </row>
    <row r="9" spans="1:18" x14ac:dyDescent="0.25">
      <c r="B9" s="30" t="s">
        <v>118</v>
      </c>
      <c r="C9" s="31"/>
      <c r="D9" s="31"/>
      <c r="E9" s="31"/>
      <c r="F9" s="31"/>
      <c r="G9" s="31"/>
      <c r="I9" s="29">
        <v>16290</v>
      </c>
    </row>
    <row r="10" spans="1:18" x14ac:dyDescent="0.25">
      <c r="B10" s="79" t="s">
        <v>151</v>
      </c>
      <c r="C10" s="31"/>
      <c r="D10" s="31"/>
      <c r="E10" s="31"/>
      <c r="F10" s="31"/>
      <c r="G10" s="31"/>
      <c r="I10" s="29">
        <v>18893</v>
      </c>
    </row>
    <row r="11" spans="1:18" x14ac:dyDescent="0.25">
      <c r="B11" s="79" t="s">
        <v>129</v>
      </c>
      <c r="C11" s="31"/>
      <c r="D11" s="31"/>
      <c r="E11" s="31"/>
      <c r="F11" s="31"/>
      <c r="G11" s="31"/>
      <c r="I11" s="29">
        <f>11304+29633</f>
        <v>40937</v>
      </c>
      <c r="K11" s="25" t="s">
        <v>39</v>
      </c>
      <c r="L11" s="25" t="s">
        <v>37</v>
      </c>
      <c r="M11" s="25" t="s">
        <v>38</v>
      </c>
      <c r="N11" s="26" t="s">
        <v>64</v>
      </c>
    </row>
    <row r="12" spans="1:18" x14ac:dyDescent="0.25">
      <c r="B12" s="144" t="s">
        <v>122</v>
      </c>
      <c r="C12" s="143"/>
      <c r="D12" s="143"/>
      <c r="E12" s="143"/>
      <c r="F12" s="143"/>
      <c r="G12" s="143"/>
      <c r="I12" s="32">
        <f>F167</f>
        <v>524</v>
      </c>
      <c r="K12" s="25">
        <v>0</v>
      </c>
      <c r="L12" s="28">
        <v>100</v>
      </c>
      <c r="M12" s="28">
        <f>$M$5</f>
        <v>1000</v>
      </c>
      <c r="N12" s="34">
        <f t="shared" ref="N12:N43" si="0">L12*$I$14</f>
        <v>199</v>
      </c>
    </row>
    <row r="13" spans="1:18" ht="12.75" customHeight="1" x14ac:dyDescent="0.25">
      <c r="B13" s="144" t="s">
        <v>123</v>
      </c>
      <c r="C13" s="143"/>
      <c r="D13" s="143"/>
      <c r="E13" s="143"/>
      <c r="F13" s="143"/>
      <c r="G13" s="143"/>
      <c r="I13" s="109">
        <v>346.13</v>
      </c>
      <c r="K13" s="25">
        <v>25</v>
      </c>
      <c r="L13" s="28">
        <v>100</v>
      </c>
      <c r="M13" s="28">
        <f t="shared" ref="M13:M15" si="1">$M$5</f>
        <v>1000</v>
      </c>
      <c r="N13" s="34">
        <f t="shared" si="0"/>
        <v>199</v>
      </c>
    </row>
    <row r="14" spans="1:18" x14ac:dyDescent="0.25">
      <c r="B14" s="142" t="s">
        <v>97</v>
      </c>
      <c r="C14" s="143"/>
      <c r="D14" s="143"/>
      <c r="E14" s="143"/>
      <c r="F14" s="143"/>
      <c r="G14" s="143"/>
      <c r="H14" s="33">
        <v>199</v>
      </c>
      <c r="I14" s="34">
        <f>H14/100</f>
        <v>1.99</v>
      </c>
      <c r="K14" s="25">
        <v>50</v>
      </c>
      <c r="L14" s="28">
        <v>100</v>
      </c>
      <c r="M14" s="28">
        <f t="shared" si="1"/>
        <v>1000</v>
      </c>
      <c r="N14" s="34">
        <f t="shared" si="0"/>
        <v>199</v>
      </c>
    </row>
    <row r="15" spans="1:18" x14ac:dyDescent="0.25">
      <c r="K15" s="25">
        <v>100</v>
      </c>
      <c r="L15" s="28">
        <v>100</v>
      </c>
      <c r="M15" s="28">
        <f t="shared" si="1"/>
        <v>1000</v>
      </c>
      <c r="N15" s="34">
        <f t="shared" si="0"/>
        <v>199</v>
      </c>
      <c r="P15" s="25">
        <f>(48*4+80*10+32*20)/10+(40*20)/7</f>
        <v>277.48571428571427</v>
      </c>
      <c r="Q15" s="25">
        <f>200/P15</f>
        <v>0.72075782537067545</v>
      </c>
    </row>
    <row r="16" spans="1:18" ht="12.75" customHeight="1" x14ac:dyDescent="0.25">
      <c r="B16" s="145" t="s">
        <v>135</v>
      </c>
      <c r="C16" s="145"/>
      <c r="D16" s="145"/>
      <c r="E16" s="145"/>
      <c r="F16" s="145"/>
      <c r="G16" s="145"/>
      <c r="I16" s="28">
        <v>200</v>
      </c>
      <c r="K16" s="25">
        <v>200</v>
      </c>
      <c r="L16" s="25">
        <v>200</v>
      </c>
      <c r="M16" s="25">
        <f>M6</f>
        <v>1500</v>
      </c>
      <c r="N16" s="34">
        <f t="shared" si="0"/>
        <v>398</v>
      </c>
      <c r="P16" s="147" t="s">
        <v>103</v>
      </c>
      <c r="Q16" s="147"/>
      <c r="R16" s="147"/>
    </row>
    <row r="17" spans="1:18" x14ac:dyDescent="0.25">
      <c r="B17" s="35"/>
      <c r="C17" s="35"/>
      <c r="D17" s="35"/>
      <c r="E17" s="35"/>
      <c r="F17" s="35"/>
      <c r="G17" s="35"/>
      <c r="K17" s="25">
        <v>300</v>
      </c>
      <c r="L17" s="25">
        <f>K17</f>
        <v>300</v>
      </c>
      <c r="M17" s="25">
        <f>M16+(L17-L16)*$N$7</f>
        <v>1865</v>
      </c>
      <c r="N17" s="34">
        <f t="shared" si="0"/>
        <v>597</v>
      </c>
      <c r="P17" s="147"/>
      <c r="Q17" s="147"/>
      <c r="R17" s="147"/>
    </row>
    <row r="18" spans="1:18" x14ac:dyDescent="0.25">
      <c r="B18" s="35"/>
      <c r="C18" s="35"/>
      <c r="D18" s="35"/>
      <c r="E18" s="35"/>
      <c r="F18" s="35"/>
      <c r="G18" s="35"/>
      <c r="K18" s="20">
        <v>400</v>
      </c>
      <c r="L18" s="28">
        <v>400</v>
      </c>
      <c r="M18" s="25">
        <f t="shared" ref="M18:M64" si="2">M17+(L18-L17)*$N$7</f>
        <v>2230</v>
      </c>
      <c r="N18" s="34">
        <f t="shared" si="0"/>
        <v>796</v>
      </c>
      <c r="P18" s="147"/>
      <c r="Q18" s="147"/>
      <c r="R18" s="147"/>
    </row>
    <row r="19" spans="1:18" ht="13.25" customHeight="1" x14ac:dyDescent="0.25">
      <c r="B19" s="145" t="s">
        <v>134</v>
      </c>
      <c r="C19" s="145"/>
      <c r="D19" s="145"/>
      <c r="E19" s="145"/>
      <c r="F19" s="145"/>
      <c r="G19" s="145"/>
      <c r="H19" s="36"/>
      <c r="I19" s="28">
        <v>132</v>
      </c>
      <c r="J19" s="37"/>
      <c r="K19" s="25">
        <v>500</v>
      </c>
      <c r="L19" s="25">
        <v>500</v>
      </c>
      <c r="M19" s="25">
        <f t="shared" si="2"/>
        <v>2595</v>
      </c>
      <c r="N19" s="34">
        <f t="shared" si="0"/>
        <v>995</v>
      </c>
      <c r="P19" s="26"/>
    </row>
    <row r="20" spans="1:18" x14ac:dyDescent="0.25">
      <c r="B20" s="80"/>
      <c r="C20" s="80"/>
      <c r="D20" s="80"/>
      <c r="E20" s="80"/>
      <c r="F20" s="80"/>
      <c r="G20" s="80"/>
      <c r="H20" s="36"/>
      <c r="I20" s="36"/>
      <c r="K20" s="25">
        <v>600</v>
      </c>
      <c r="L20" s="25">
        <f>K20-((K20-$K$19)/100)*$P$21</f>
        <v>595</v>
      </c>
      <c r="M20" s="25">
        <f t="shared" si="2"/>
        <v>2941.75</v>
      </c>
      <c r="N20" s="34">
        <f t="shared" si="0"/>
        <v>1184.05</v>
      </c>
      <c r="P20" s="26" t="s">
        <v>106</v>
      </c>
    </row>
    <row r="21" spans="1:18" x14ac:dyDescent="0.25">
      <c r="B21" s="145" t="s">
        <v>162</v>
      </c>
      <c r="C21" s="146"/>
      <c r="D21" s="146"/>
      <c r="E21" s="146"/>
      <c r="F21" s="146"/>
      <c r="G21" s="146"/>
      <c r="H21" s="146"/>
      <c r="I21" s="28">
        <v>40.96</v>
      </c>
      <c r="K21" s="25">
        <v>700</v>
      </c>
      <c r="L21" s="25">
        <f>K21-((K21-$K$19)/100)*$P$21</f>
        <v>690</v>
      </c>
      <c r="M21" s="25">
        <f t="shared" si="2"/>
        <v>3288.5</v>
      </c>
      <c r="N21" s="34">
        <f t="shared" si="0"/>
        <v>1373.1</v>
      </c>
      <c r="P21" s="40">
        <v>5</v>
      </c>
      <c r="Q21" s="26" t="s">
        <v>107</v>
      </c>
    </row>
    <row r="22" spans="1:18" x14ac:dyDescent="0.25">
      <c r="B22" s="146"/>
      <c r="C22" s="146"/>
      <c r="D22" s="146"/>
      <c r="E22" s="146"/>
      <c r="F22" s="146"/>
      <c r="G22" s="146"/>
      <c r="H22" s="146"/>
      <c r="I22" s="28"/>
      <c r="J22" s="26"/>
      <c r="K22" s="25">
        <v>800</v>
      </c>
      <c r="L22" s="25">
        <f t="shared" ref="L22:L64" si="3">K22-((K22-$K$19)/100)*$P$21</f>
        <v>785</v>
      </c>
      <c r="M22" s="25">
        <f t="shared" si="2"/>
        <v>3635.25</v>
      </c>
      <c r="N22" s="34">
        <f t="shared" si="0"/>
        <v>1562.15</v>
      </c>
    </row>
    <row r="23" spans="1:18" x14ac:dyDescent="0.25">
      <c r="B23" s="26" t="s">
        <v>81</v>
      </c>
      <c r="I23" s="38">
        <v>0.4</v>
      </c>
      <c r="K23" s="25">
        <v>900</v>
      </c>
      <c r="L23" s="25">
        <f t="shared" si="3"/>
        <v>880</v>
      </c>
      <c r="M23" s="25">
        <f t="shared" si="2"/>
        <v>3982</v>
      </c>
      <c r="N23" s="34">
        <f t="shared" si="0"/>
        <v>1751.2</v>
      </c>
    </row>
    <row r="24" spans="1:18" x14ac:dyDescent="0.25">
      <c r="B24" s="142" t="s">
        <v>101</v>
      </c>
      <c r="C24" s="143"/>
      <c r="D24" s="143"/>
      <c r="E24" s="143"/>
      <c r="F24" s="143"/>
      <c r="G24" s="143"/>
      <c r="I24" s="39">
        <v>650</v>
      </c>
      <c r="J24" s="41"/>
      <c r="K24" s="25">
        <v>1000</v>
      </c>
      <c r="L24" s="25">
        <f t="shared" si="3"/>
        <v>975</v>
      </c>
      <c r="M24" s="25">
        <f t="shared" si="2"/>
        <v>4328.75</v>
      </c>
      <c r="N24" s="34">
        <f t="shared" si="0"/>
        <v>1940.25</v>
      </c>
    </row>
    <row r="25" spans="1:18" x14ac:dyDescent="0.25">
      <c r="B25" s="25" t="s">
        <v>28</v>
      </c>
      <c r="I25" s="39">
        <v>250</v>
      </c>
      <c r="K25" s="25">
        <v>1100</v>
      </c>
      <c r="L25" s="25">
        <f t="shared" si="3"/>
        <v>1070</v>
      </c>
      <c r="M25" s="25">
        <f t="shared" si="2"/>
        <v>4675.5</v>
      </c>
      <c r="N25" s="34">
        <f t="shared" si="0"/>
        <v>2129.3000000000002</v>
      </c>
    </row>
    <row r="26" spans="1:18" x14ac:dyDescent="0.25">
      <c r="I26" s="41"/>
      <c r="K26" s="25">
        <v>1200</v>
      </c>
      <c r="L26" s="25">
        <f t="shared" si="3"/>
        <v>1165</v>
      </c>
      <c r="M26" s="25">
        <f t="shared" si="2"/>
        <v>5022.25</v>
      </c>
      <c r="N26" s="34">
        <f t="shared" si="0"/>
        <v>2318.35</v>
      </c>
    </row>
    <row r="27" spans="1:18" x14ac:dyDescent="0.25">
      <c r="B27" s="36" t="s">
        <v>26</v>
      </c>
      <c r="C27" s="36"/>
      <c r="D27" s="36"/>
      <c r="E27" s="36"/>
      <c r="F27" s="36"/>
      <c r="G27" s="36"/>
      <c r="H27" s="36"/>
      <c r="I27" s="42">
        <v>1800</v>
      </c>
      <c r="K27" s="25">
        <v>1300</v>
      </c>
      <c r="L27" s="25">
        <f t="shared" si="3"/>
        <v>1260</v>
      </c>
      <c r="M27" s="25">
        <f t="shared" si="2"/>
        <v>5369</v>
      </c>
      <c r="N27" s="34">
        <f t="shared" si="0"/>
        <v>2507.4</v>
      </c>
    </row>
    <row r="28" spans="1:18" x14ac:dyDescent="0.25">
      <c r="B28" s="25" t="s">
        <v>3</v>
      </c>
      <c r="I28" s="41">
        <f>M5</f>
        <v>1000</v>
      </c>
      <c r="K28" s="25">
        <v>1400</v>
      </c>
      <c r="L28" s="25">
        <f t="shared" si="3"/>
        <v>1355</v>
      </c>
      <c r="M28" s="25">
        <f t="shared" si="2"/>
        <v>5715.75</v>
      </c>
      <c r="N28" s="34">
        <f t="shared" si="0"/>
        <v>2696.45</v>
      </c>
    </row>
    <row r="29" spans="1:18" x14ac:dyDescent="0.25">
      <c r="B29" s="26" t="s">
        <v>82</v>
      </c>
      <c r="K29" s="25">
        <v>1500</v>
      </c>
      <c r="L29" s="25">
        <f t="shared" si="3"/>
        <v>1450</v>
      </c>
      <c r="M29" s="25">
        <f t="shared" si="2"/>
        <v>6062.5</v>
      </c>
      <c r="N29" s="34">
        <f t="shared" si="0"/>
        <v>2885.5</v>
      </c>
    </row>
    <row r="30" spans="1:18" x14ac:dyDescent="0.25">
      <c r="K30" s="25">
        <v>1600</v>
      </c>
      <c r="L30" s="25">
        <f t="shared" si="3"/>
        <v>1545</v>
      </c>
      <c r="M30" s="25">
        <f t="shared" si="2"/>
        <v>6409.25</v>
      </c>
      <c r="N30" s="34">
        <f t="shared" si="0"/>
        <v>3074.55</v>
      </c>
    </row>
    <row r="31" spans="1:18" x14ac:dyDescent="0.25">
      <c r="K31" s="25">
        <v>1700</v>
      </c>
      <c r="L31" s="25">
        <f t="shared" si="3"/>
        <v>1640</v>
      </c>
      <c r="M31" s="25">
        <f t="shared" si="2"/>
        <v>6756</v>
      </c>
      <c r="N31" s="34">
        <f t="shared" si="0"/>
        <v>3263.6</v>
      </c>
    </row>
    <row r="32" spans="1:18" ht="15.5" x14ac:dyDescent="0.25">
      <c r="A32" s="43" t="s">
        <v>124</v>
      </c>
      <c r="B32" s="44"/>
      <c r="C32" s="44"/>
      <c r="D32" s="44"/>
      <c r="E32" s="44"/>
      <c r="F32" s="44"/>
      <c r="G32" s="44"/>
      <c r="K32" s="25">
        <v>1800</v>
      </c>
      <c r="L32" s="25">
        <f t="shared" si="3"/>
        <v>1735</v>
      </c>
      <c r="M32" s="25">
        <f t="shared" si="2"/>
        <v>7102.75</v>
      </c>
      <c r="N32" s="34">
        <f t="shared" si="0"/>
        <v>3452.65</v>
      </c>
    </row>
    <row r="33" spans="1:19" x14ac:dyDescent="0.25">
      <c r="A33" s="44"/>
      <c r="B33" s="44"/>
      <c r="C33" s="44"/>
      <c r="D33" s="44"/>
      <c r="E33" s="44"/>
      <c r="F33" s="44"/>
      <c r="G33" s="44"/>
      <c r="K33" s="25">
        <v>1900</v>
      </c>
      <c r="L33" s="25">
        <f t="shared" si="3"/>
        <v>1830</v>
      </c>
      <c r="M33" s="25">
        <f t="shared" si="2"/>
        <v>7449.5</v>
      </c>
      <c r="N33" s="34">
        <f t="shared" si="0"/>
        <v>3641.7</v>
      </c>
    </row>
    <row r="34" spans="1:19" x14ac:dyDescent="0.25">
      <c r="A34" s="44"/>
      <c r="B34" s="44" t="s">
        <v>11</v>
      </c>
      <c r="C34" s="44"/>
      <c r="D34" s="44"/>
      <c r="E34" s="44"/>
      <c r="F34" s="44"/>
      <c r="G34" s="45"/>
      <c r="K34" s="25">
        <v>2000</v>
      </c>
      <c r="L34" s="25">
        <f t="shared" si="3"/>
        <v>1925</v>
      </c>
      <c r="M34" s="25">
        <f t="shared" si="2"/>
        <v>7796.25</v>
      </c>
      <c r="N34" s="34">
        <f t="shared" si="0"/>
        <v>3830.75</v>
      </c>
    </row>
    <row r="35" spans="1:19" x14ac:dyDescent="0.25">
      <c r="A35" s="44"/>
      <c r="B35" s="44"/>
      <c r="C35" s="44"/>
      <c r="D35" s="44"/>
      <c r="E35" s="44"/>
      <c r="F35" s="44"/>
      <c r="G35" s="45"/>
      <c r="K35" s="25">
        <v>2100</v>
      </c>
      <c r="L35" s="25">
        <f t="shared" si="3"/>
        <v>2020</v>
      </c>
      <c r="M35" s="25">
        <f t="shared" si="2"/>
        <v>8143</v>
      </c>
      <c r="N35" s="34">
        <f t="shared" si="0"/>
        <v>4019.8</v>
      </c>
    </row>
    <row r="36" spans="1:19" x14ac:dyDescent="0.25">
      <c r="A36" s="44"/>
      <c r="B36" s="44" t="s">
        <v>13</v>
      </c>
      <c r="C36" s="44"/>
      <c r="D36" s="44"/>
      <c r="E36" s="44"/>
      <c r="F36" s="44"/>
      <c r="G36" s="45"/>
      <c r="K36" s="25">
        <v>2200</v>
      </c>
      <c r="L36" s="25">
        <f t="shared" si="3"/>
        <v>2115</v>
      </c>
      <c r="M36" s="25">
        <f t="shared" si="2"/>
        <v>8489.75</v>
      </c>
      <c r="N36" s="34">
        <f t="shared" si="0"/>
        <v>4208.8500000000004</v>
      </c>
    </row>
    <row r="37" spans="1:19" x14ac:dyDescent="0.25">
      <c r="A37" s="44"/>
      <c r="B37" s="44"/>
      <c r="C37" s="44"/>
      <c r="D37" s="46" t="s">
        <v>4</v>
      </c>
      <c r="E37" s="46" t="s">
        <v>5</v>
      </c>
      <c r="F37" s="46" t="s">
        <v>19</v>
      </c>
      <c r="G37" s="46" t="s">
        <v>6</v>
      </c>
      <c r="K37" s="25">
        <v>2300</v>
      </c>
      <c r="L37" s="25">
        <f t="shared" si="3"/>
        <v>2210</v>
      </c>
      <c r="M37" s="25">
        <f t="shared" si="2"/>
        <v>8836.5</v>
      </c>
      <c r="N37" s="34">
        <f t="shared" si="0"/>
        <v>4397.8999999999996</v>
      </c>
    </row>
    <row r="38" spans="1:19" ht="12.75" customHeight="1" x14ac:dyDescent="0.25">
      <c r="A38" s="44"/>
      <c r="B38" s="44" t="s">
        <v>16</v>
      </c>
      <c r="C38" s="47" t="s">
        <v>7</v>
      </c>
      <c r="D38" s="76"/>
      <c r="E38" s="74"/>
      <c r="F38" s="45">
        <f>E38*D38</f>
        <v>0</v>
      </c>
      <c r="G38" s="45">
        <f>E38*$G$383</f>
        <v>0</v>
      </c>
      <c r="H38" s="49">
        <f>E38/$E$56</f>
        <v>0</v>
      </c>
      <c r="K38" s="25">
        <v>2400</v>
      </c>
      <c r="L38" s="25">
        <f t="shared" si="3"/>
        <v>2305</v>
      </c>
      <c r="M38" s="25">
        <f t="shared" si="2"/>
        <v>9183.25</v>
      </c>
      <c r="N38" s="34">
        <f t="shared" si="0"/>
        <v>4586.95</v>
      </c>
      <c r="P38" s="51"/>
      <c r="Q38" s="51"/>
      <c r="R38" s="51"/>
      <c r="S38" s="140"/>
    </row>
    <row r="39" spans="1:19" ht="15.5" x14ac:dyDescent="0.35">
      <c r="A39" s="44"/>
      <c r="B39" s="44" t="s">
        <v>29</v>
      </c>
      <c r="C39" s="47" t="s">
        <v>8</v>
      </c>
      <c r="D39" s="76"/>
      <c r="E39" s="74"/>
      <c r="F39" s="45">
        <f>E39*D39</f>
        <v>0</v>
      </c>
      <c r="G39" s="45">
        <f>E39*$G$34</f>
        <v>0</v>
      </c>
      <c r="H39" s="49">
        <f>E39/$E$56</f>
        <v>0</v>
      </c>
      <c r="I39" s="50"/>
      <c r="K39" s="25">
        <v>2500</v>
      </c>
      <c r="L39" s="25">
        <f t="shared" si="3"/>
        <v>2400</v>
      </c>
      <c r="M39" s="25">
        <f t="shared" si="2"/>
        <v>9530</v>
      </c>
      <c r="N39" s="34">
        <f t="shared" si="0"/>
        <v>4776</v>
      </c>
      <c r="O39" s="26"/>
      <c r="P39" s="51"/>
      <c r="Q39" s="51"/>
      <c r="R39" s="51"/>
      <c r="S39" s="140"/>
    </row>
    <row r="40" spans="1:19" x14ac:dyDescent="0.25">
      <c r="A40" s="44"/>
      <c r="B40" s="44" t="s">
        <v>17</v>
      </c>
      <c r="C40" s="47" t="s">
        <v>92</v>
      </c>
      <c r="D40" s="76"/>
      <c r="E40" s="74"/>
      <c r="F40" s="45">
        <f>E40*D40</f>
        <v>0</v>
      </c>
      <c r="G40" s="45">
        <f>E40*$G$34</f>
        <v>0</v>
      </c>
      <c r="H40" s="49">
        <f>E40/$E$56</f>
        <v>0</v>
      </c>
      <c r="K40" s="25">
        <v>2600</v>
      </c>
      <c r="L40" s="25">
        <f t="shared" si="3"/>
        <v>2495</v>
      </c>
      <c r="M40" s="25">
        <f t="shared" si="2"/>
        <v>9876.75</v>
      </c>
      <c r="N40" s="34">
        <f t="shared" si="0"/>
        <v>4965.05</v>
      </c>
      <c r="O40" s="55"/>
      <c r="P40" s="55"/>
      <c r="Q40" s="55"/>
      <c r="R40" s="55"/>
      <c r="S40" s="56"/>
    </row>
    <row r="41" spans="1:19" x14ac:dyDescent="0.25">
      <c r="A41" s="44"/>
      <c r="B41" s="44"/>
      <c r="C41" s="47"/>
      <c r="D41" s="45"/>
      <c r="E41" s="74"/>
      <c r="F41" s="45"/>
      <c r="G41" s="45"/>
      <c r="K41" s="25">
        <v>2700</v>
      </c>
      <c r="L41" s="25">
        <f t="shared" si="3"/>
        <v>2590</v>
      </c>
      <c r="M41" s="25">
        <f t="shared" si="2"/>
        <v>10223.5</v>
      </c>
      <c r="N41" s="34">
        <f t="shared" si="0"/>
        <v>5154.1000000000004</v>
      </c>
      <c r="O41" s="55"/>
      <c r="P41" s="55"/>
      <c r="Q41" s="55"/>
      <c r="R41" s="55"/>
      <c r="S41" s="56"/>
    </row>
    <row r="42" spans="1:19" x14ac:dyDescent="0.25">
      <c r="A42" s="44"/>
      <c r="B42" s="44" t="s">
        <v>12</v>
      </c>
      <c r="C42" s="44"/>
      <c r="D42" s="45"/>
      <c r="E42" s="74"/>
      <c r="F42" s="45"/>
      <c r="G42" s="45"/>
      <c r="K42" s="25">
        <v>2800</v>
      </c>
      <c r="L42" s="25">
        <f t="shared" si="3"/>
        <v>2685</v>
      </c>
      <c r="M42" s="25">
        <f t="shared" si="2"/>
        <v>10570.25</v>
      </c>
      <c r="N42" s="34">
        <f t="shared" si="0"/>
        <v>5343.15</v>
      </c>
      <c r="O42" s="55"/>
      <c r="P42" s="55"/>
      <c r="Q42" s="55"/>
      <c r="R42" s="55"/>
      <c r="S42" s="56"/>
    </row>
    <row r="43" spans="1:19" ht="14" x14ac:dyDescent="0.25">
      <c r="A43" s="44"/>
      <c r="B43" s="44" t="s">
        <v>18</v>
      </c>
      <c r="C43" s="47" t="s">
        <v>94</v>
      </c>
      <c r="D43" s="45">
        <v>199</v>
      </c>
      <c r="E43" s="75">
        <v>40</v>
      </c>
      <c r="F43" s="53">
        <f>E43*D43</f>
        <v>7960</v>
      </c>
      <c r="G43" s="54">
        <f>E43*$G$34</f>
        <v>0</v>
      </c>
      <c r="K43" s="25">
        <v>2900</v>
      </c>
      <c r="L43" s="25">
        <f t="shared" si="3"/>
        <v>2780</v>
      </c>
      <c r="M43" s="25">
        <f t="shared" si="2"/>
        <v>10917</v>
      </c>
      <c r="N43" s="34">
        <f t="shared" si="0"/>
        <v>5532.2</v>
      </c>
      <c r="O43" s="55"/>
      <c r="P43" s="55"/>
      <c r="Q43" s="55"/>
      <c r="R43" s="55"/>
      <c r="S43" s="56"/>
    </row>
    <row r="44" spans="1:19" x14ac:dyDescent="0.25">
      <c r="A44" s="44"/>
      <c r="B44" s="44"/>
      <c r="C44" s="47"/>
      <c r="D44" s="44"/>
      <c r="E44" s="44"/>
      <c r="F44" s="57">
        <f>SUM(F38:F43)</f>
        <v>7960</v>
      </c>
      <c r="G44" s="57">
        <f>SUM(G38:G43)</f>
        <v>0</v>
      </c>
      <c r="K44" s="25">
        <v>3000</v>
      </c>
      <c r="L44" s="25">
        <f t="shared" si="3"/>
        <v>2875</v>
      </c>
      <c r="M44" s="25">
        <f t="shared" si="2"/>
        <v>11263.75</v>
      </c>
      <c r="N44" s="34">
        <f t="shared" ref="N44:N64" si="4">L44*$I$14</f>
        <v>5721.25</v>
      </c>
      <c r="O44" s="55"/>
      <c r="P44" s="55"/>
      <c r="Q44" s="55"/>
      <c r="R44" s="55"/>
      <c r="S44" s="56"/>
    </row>
    <row r="45" spans="1:19" x14ac:dyDescent="0.25">
      <c r="A45" s="44"/>
      <c r="K45" s="25">
        <v>3100</v>
      </c>
      <c r="L45" s="25">
        <f t="shared" si="3"/>
        <v>2970</v>
      </c>
      <c r="M45" s="25">
        <f t="shared" si="2"/>
        <v>11610.5</v>
      </c>
      <c r="N45" s="34">
        <f t="shared" si="4"/>
        <v>5910.3</v>
      </c>
      <c r="O45" s="55"/>
      <c r="P45" s="55"/>
      <c r="Q45" s="55"/>
      <c r="R45" s="55"/>
      <c r="S45" s="56"/>
    </row>
    <row r="46" spans="1:19" x14ac:dyDescent="0.25">
      <c r="A46" s="44"/>
      <c r="B46" s="25" t="s">
        <v>72</v>
      </c>
      <c r="C46" s="58">
        <v>0.25</v>
      </c>
      <c r="D46" s="25" t="s">
        <v>86</v>
      </c>
      <c r="K46" s="25">
        <v>3200</v>
      </c>
      <c r="L46" s="25">
        <f t="shared" si="3"/>
        <v>3065</v>
      </c>
      <c r="M46" s="25">
        <f t="shared" si="2"/>
        <v>11957.25</v>
      </c>
      <c r="N46" s="34">
        <f t="shared" si="4"/>
        <v>6099.35</v>
      </c>
      <c r="O46" s="55"/>
      <c r="P46" s="55"/>
      <c r="Q46" s="55"/>
      <c r="R46" s="55"/>
      <c r="S46" s="56"/>
    </row>
    <row r="47" spans="1:19" x14ac:dyDescent="0.25">
      <c r="C47" s="26">
        <v>5</v>
      </c>
      <c r="D47" s="25" t="s">
        <v>73</v>
      </c>
      <c r="F47" s="26" t="s">
        <v>19</v>
      </c>
      <c r="G47" s="59"/>
      <c r="K47" s="25">
        <v>3300</v>
      </c>
      <c r="L47" s="25">
        <f t="shared" si="3"/>
        <v>3160</v>
      </c>
      <c r="M47" s="25">
        <f t="shared" si="2"/>
        <v>12304</v>
      </c>
      <c r="N47" s="34">
        <f t="shared" si="4"/>
        <v>6288.4</v>
      </c>
      <c r="O47" s="55"/>
      <c r="P47" s="55"/>
      <c r="Q47" s="55"/>
      <c r="R47" s="55"/>
      <c r="S47" s="56"/>
    </row>
    <row r="48" spans="1:19" x14ac:dyDescent="0.25">
      <c r="B48" s="44" t="s">
        <v>16</v>
      </c>
      <c r="D48" s="60">
        <f>$C$47</f>
        <v>5</v>
      </c>
      <c r="E48" s="48">
        <f>ROUND(E38*$C$46,0)</f>
        <v>0</v>
      </c>
      <c r="F48" s="61">
        <f>E48*D48</f>
        <v>0</v>
      </c>
      <c r="G48" s="59"/>
      <c r="K48" s="25">
        <v>3400</v>
      </c>
      <c r="L48" s="25">
        <f t="shared" si="3"/>
        <v>3255</v>
      </c>
      <c r="M48" s="25">
        <f t="shared" si="2"/>
        <v>12650.75</v>
      </c>
      <c r="N48" s="34">
        <f t="shared" si="4"/>
        <v>6477.45</v>
      </c>
      <c r="O48" s="55"/>
      <c r="P48" s="55"/>
      <c r="Q48" s="55"/>
      <c r="R48" s="55"/>
      <c r="S48" s="56"/>
    </row>
    <row r="49" spans="1:19" x14ac:dyDescent="0.25">
      <c r="B49" s="44" t="s">
        <v>29</v>
      </c>
      <c r="D49" s="60">
        <f>$C$47</f>
        <v>5</v>
      </c>
      <c r="E49" s="48">
        <f>ROUND(E39*$C$46,0)</f>
        <v>0</v>
      </c>
      <c r="F49" s="61">
        <f>E49*D49</f>
        <v>0</v>
      </c>
      <c r="G49" s="59"/>
      <c r="K49" s="25">
        <v>3500</v>
      </c>
      <c r="L49" s="25">
        <f t="shared" si="3"/>
        <v>3350</v>
      </c>
      <c r="M49" s="25">
        <f t="shared" si="2"/>
        <v>12997.5</v>
      </c>
      <c r="N49" s="34">
        <f t="shared" si="4"/>
        <v>6666.5</v>
      </c>
      <c r="O49" s="55"/>
      <c r="P49" s="55"/>
      <c r="Q49" s="55"/>
      <c r="R49" s="55"/>
      <c r="S49" s="56"/>
    </row>
    <row r="50" spans="1:19" x14ac:dyDescent="0.25">
      <c r="B50" s="44" t="s">
        <v>17</v>
      </c>
      <c r="D50" s="60">
        <f>$C$47</f>
        <v>5</v>
      </c>
      <c r="E50" s="48">
        <f>ROUND(E40*$C$46,0)</f>
        <v>0</v>
      </c>
      <c r="F50" s="61">
        <f>E50*D50</f>
        <v>0</v>
      </c>
      <c r="G50" s="59"/>
      <c r="K50" s="25">
        <v>3600</v>
      </c>
      <c r="L50" s="25">
        <f t="shared" si="3"/>
        <v>3445</v>
      </c>
      <c r="M50" s="25">
        <f t="shared" si="2"/>
        <v>13344.25</v>
      </c>
      <c r="N50" s="34">
        <f t="shared" si="4"/>
        <v>6855.55</v>
      </c>
      <c r="O50" s="55"/>
      <c r="P50" s="55"/>
      <c r="Q50" s="55"/>
      <c r="R50" s="55"/>
      <c r="S50" s="56"/>
    </row>
    <row r="51" spans="1:19" x14ac:dyDescent="0.25">
      <c r="E51" s="48"/>
      <c r="F51" s="61"/>
      <c r="K51" s="25">
        <v>3700</v>
      </c>
      <c r="L51" s="25">
        <f t="shared" si="3"/>
        <v>3540</v>
      </c>
      <c r="M51" s="25">
        <f t="shared" si="2"/>
        <v>13691</v>
      </c>
      <c r="N51" s="34">
        <f t="shared" si="4"/>
        <v>7044.6</v>
      </c>
      <c r="O51" s="55"/>
      <c r="P51" s="55"/>
      <c r="Q51" s="55"/>
      <c r="R51" s="55"/>
      <c r="S51" s="56"/>
    </row>
    <row r="52" spans="1:19" x14ac:dyDescent="0.25">
      <c r="B52" s="44" t="s">
        <v>12</v>
      </c>
      <c r="E52" s="48"/>
      <c r="F52" s="61"/>
      <c r="K52" s="25">
        <v>3800</v>
      </c>
      <c r="L52" s="25">
        <f t="shared" si="3"/>
        <v>3635</v>
      </c>
      <c r="M52" s="25">
        <f t="shared" si="2"/>
        <v>14037.75</v>
      </c>
      <c r="N52" s="34">
        <f t="shared" si="4"/>
        <v>7233.65</v>
      </c>
      <c r="O52" s="55"/>
      <c r="P52" s="55"/>
      <c r="Q52" s="55"/>
      <c r="R52" s="55"/>
      <c r="S52" s="56"/>
    </row>
    <row r="53" spans="1:19" x14ac:dyDescent="0.25">
      <c r="B53" s="44" t="s">
        <v>18</v>
      </c>
      <c r="D53" s="60">
        <f>$C$47</f>
        <v>5</v>
      </c>
      <c r="E53" s="48">
        <v>0</v>
      </c>
      <c r="F53" s="62">
        <f>E53*D53</f>
        <v>0</v>
      </c>
      <c r="G53" s="25" t="s">
        <v>87</v>
      </c>
      <c r="K53" s="25">
        <v>3900</v>
      </c>
      <c r="L53" s="25">
        <f t="shared" si="3"/>
        <v>3730</v>
      </c>
      <c r="M53" s="25">
        <f t="shared" si="2"/>
        <v>14384.5</v>
      </c>
      <c r="N53" s="34">
        <f t="shared" si="4"/>
        <v>7422.7</v>
      </c>
      <c r="O53" s="55"/>
      <c r="P53" s="55"/>
      <c r="Q53" s="55"/>
      <c r="R53" s="55"/>
      <c r="S53" s="56"/>
    </row>
    <row r="54" spans="1:19" x14ac:dyDescent="0.25">
      <c r="F54" s="61">
        <f>SUM(F48:F53)</f>
        <v>0</v>
      </c>
      <c r="K54" s="25">
        <v>4000</v>
      </c>
      <c r="L54" s="25">
        <f t="shared" si="3"/>
        <v>3825</v>
      </c>
      <c r="M54" s="25">
        <f t="shared" si="2"/>
        <v>14731.25</v>
      </c>
      <c r="N54" s="34">
        <f t="shared" si="4"/>
        <v>7611.75</v>
      </c>
      <c r="O54" s="55"/>
      <c r="P54" s="55"/>
      <c r="Q54" s="55"/>
      <c r="R54" s="55"/>
      <c r="S54" s="56"/>
    </row>
    <row r="55" spans="1:19" x14ac:dyDescent="0.25">
      <c r="K55" s="25">
        <v>4100</v>
      </c>
      <c r="L55" s="25">
        <f t="shared" si="3"/>
        <v>3920</v>
      </c>
      <c r="M55" s="25">
        <f t="shared" si="2"/>
        <v>15078</v>
      </c>
      <c r="N55" s="34">
        <f t="shared" si="4"/>
        <v>7800.8</v>
      </c>
      <c r="O55" s="55"/>
      <c r="P55" s="55"/>
      <c r="Q55" s="55"/>
      <c r="R55" s="55"/>
      <c r="S55" s="56"/>
    </row>
    <row r="56" spans="1:19" x14ac:dyDescent="0.25">
      <c r="B56" s="44" t="s">
        <v>14</v>
      </c>
      <c r="C56" s="47"/>
      <c r="D56" s="44"/>
      <c r="E56" s="48">
        <f>SUM(E38:E43)</f>
        <v>40</v>
      </c>
      <c r="F56" s="57">
        <f>F54+F44</f>
        <v>7960</v>
      </c>
      <c r="G56" s="57"/>
      <c r="K56" s="25">
        <v>4200</v>
      </c>
      <c r="L56" s="25">
        <f t="shared" si="3"/>
        <v>4015</v>
      </c>
      <c r="M56" s="25">
        <f t="shared" si="2"/>
        <v>15424.75</v>
      </c>
      <c r="N56" s="34">
        <f t="shared" si="4"/>
        <v>7989.85</v>
      </c>
      <c r="O56" s="55"/>
      <c r="P56" s="55"/>
      <c r="Q56" s="55"/>
      <c r="R56" s="55"/>
      <c r="S56" s="56"/>
    </row>
    <row r="57" spans="1:19" x14ac:dyDescent="0.25">
      <c r="B57" s="44" t="s">
        <v>9</v>
      </c>
      <c r="C57" s="47"/>
      <c r="D57" s="44"/>
      <c r="E57" s="57">
        <f>G57/E56</f>
        <v>199</v>
      </c>
      <c r="F57" s="44" t="s">
        <v>15</v>
      </c>
      <c r="G57" s="57">
        <f>F56+G44</f>
        <v>7960</v>
      </c>
      <c r="K57" s="25">
        <v>4300</v>
      </c>
      <c r="L57" s="25">
        <f t="shared" si="3"/>
        <v>4110</v>
      </c>
      <c r="M57" s="25">
        <f t="shared" si="2"/>
        <v>15771.5</v>
      </c>
      <c r="N57" s="34">
        <f t="shared" si="4"/>
        <v>8178.9</v>
      </c>
      <c r="O57" s="55"/>
      <c r="P57" s="55"/>
      <c r="Q57" s="55"/>
      <c r="R57" s="55"/>
      <c r="S57" s="56"/>
    </row>
    <row r="58" spans="1:19" x14ac:dyDescent="0.25">
      <c r="B58" s="44"/>
      <c r="C58" s="47"/>
      <c r="D58" s="44"/>
      <c r="E58" s="57"/>
      <c r="F58" s="44"/>
      <c r="G58" s="57"/>
      <c r="K58" s="25">
        <v>4400</v>
      </c>
      <c r="L58" s="25">
        <f t="shared" si="3"/>
        <v>4205</v>
      </c>
      <c r="M58" s="25">
        <f t="shared" si="2"/>
        <v>16118.25</v>
      </c>
      <c r="N58" s="34">
        <f t="shared" si="4"/>
        <v>8367.9500000000007</v>
      </c>
      <c r="O58" s="55"/>
      <c r="P58" s="55"/>
      <c r="Q58" s="55"/>
      <c r="R58" s="55"/>
      <c r="S58" s="56"/>
    </row>
    <row r="59" spans="1:19" ht="15.5" x14ac:dyDescent="0.25">
      <c r="A59" s="43" t="s">
        <v>132</v>
      </c>
      <c r="B59" s="44"/>
      <c r="C59" s="44"/>
      <c r="D59" s="44"/>
      <c r="E59" s="44"/>
      <c r="F59" s="44"/>
      <c r="G59" s="44"/>
      <c r="K59" s="25">
        <v>4500</v>
      </c>
      <c r="L59" s="25">
        <f t="shared" si="3"/>
        <v>4300</v>
      </c>
      <c r="M59" s="25">
        <f t="shared" si="2"/>
        <v>16465</v>
      </c>
      <c r="N59" s="34">
        <f t="shared" si="4"/>
        <v>8557</v>
      </c>
      <c r="O59" s="55"/>
      <c r="P59" s="55"/>
      <c r="Q59" s="55"/>
      <c r="R59" s="55"/>
      <c r="S59" s="56"/>
    </row>
    <row r="60" spans="1:19" x14ac:dyDescent="0.25">
      <c r="A60" s="44"/>
      <c r="B60" s="44"/>
      <c r="C60" s="44"/>
      <c r="D60" s="44"/>
      <c r="E60" s="44"/>
      <c r="F60" s="44"/>
      <c r="G60" s="44"/>
      <c r="K60" s="25">
        <v>4600</v>
      </c>
      <c r="L60" s="25">
        <f t="shared" si="3"/>
        <v>4395</v>
      </c>
      <c r="M60" s="25">
        <f t="shared" si="2"/>
        <v>16811.75</v>
      </c>
      <c r="N60" s="34">
        <f t="shared" si="4"/>
        <v>8746.0499999999993</v>
      </c>
    </row>
    <row r="61" spans="1:19" x14ac:dyDescent="0.25">
      <c r="A61" s="44"/>
      <c r="B61" s="44" t="s">
        <v>11</v>
      </c>
      <c r="C61" s="44"/>
      <c r="D61" s="44"/>
      <c r="E61" s="44"/>
      <c r="F61" s="44"/>
      <c r="G61" s="76">
        <v>9</v>
      </c>
      <c r="K61" s="25">
        <v>4700</v>
      </c>
      <c r="L61" s="25">
        <f t="shared" si="3"/>
        <v>4490</v>
      </c>
      <c r="M61" s="25">
        <f t="shared" si="2"/>
        <v>17158.5</v>
      </c>
      <c r="N61" s="34">
        <f t="shared" si="4"/>
        <v>8935.1</v>
      </c>
    </row>
    <row r="62" spans="1:19" x14ac:dyDescent="0.25">
      <c r="A62" s="44"/>
      <c r="B62" s="44"/>
      <c r="C62" s="44"/>
      <c r="D62" s="44"/>
      <c r="E62" s="44"/>
      <c r="F62" s="44"/>
      <c r="G62" s="45"/>
      <c r="K62" s="25">
        <v>4800</v>
      </c>
      <c r="L62" s="25">
        <f t="shared" si="3"/>
        <v>4585</v>
      </c>
      <c r="M62" s="25">
        <f t="shared" si="2"/>
        <v>17505.25</v>
      </c>
      <c r="N62" s="34">
        <f t="shared" si="4"/>
        <v>9124.15</v>
      </c>
    </row>
    <row r="63" spans="1:19" x14ac:dyDescent="0.25">
      <c r="A63" s="44"/>
      <c r="B63" s="44" t="s">
        <v>13</v>
      </c>
      <c r="C63" s="44"/>
      <c r="D63" s="44"/>
      <c r="E63" s="44"/>
      <c r="F63" s="44"/>
      <c r="G63" s="45"/>
      <c r="K63" s="25">
        <v>4900</v>
      </c>
      <c r="L63" s="25">
        <f t="shared" si="3"/>
        <v>4680</v>
      </c>
      <c r="M63" s="25">
        <f t="shared" si="2"/>
        <v>17852</v>
      </c>
      <c r="N63" s="34">
        <f t="shared" si="4"/>
        <v>9313.2000000000007</v>
      </c>
    </row>
    <row r="64" spans="1:19" x14ac:dyDescent="0.25">
      <c r="A64" s="44"/>
      <c r="B64" s="44"/>
      <c r="C64" s="44"/>
      <c r="D64" s="46" t="s">
        <v>4</v>
      </c>
      <c r="E64" s="46" t="s">
        <v>5</v>
      </c>
      <c r="F64" s="46" t="s">
        <v>19</v>
      </c>
      <c r="G64" s="46" t="s">
        <v>6</v>
      </c>
      <c r="K64" s="25">
        <v>5000</v>
      </c>
      <c r="L64" s="25">
        <f t="shared" si="3"/>
        <v>4775</v>
      </c>
      <c r="M64" s="25">
        <f t="shared" si="2"/>
        <v>18198.75</v>
      </c>
      <c r="N64" s="34">
        <f t="shared" si="4"/>
        <v>9502.25</v>
      </c>
    </row>
    <row r="65" spans="1:19" x14ac:dyDescent="0.25">
      <c r="A65" s="44"/>
      <c r="B65" s="44" t="s">
        <v>16</v>
      </c>
      <c r="C65" s="47" t="s">
        <v>7</v>
      </c>
      <c r="D65" s="76">
        <v>39</v>
      </c>
      <c r="E65" s="74">
        <v>16</v>
      </c>
      <c r="F65" s="45">
        <f>E65*D65</f>
        <v>624</v>
      </c>
      <c r="G65" s="45">
        <f>E65*$G$61</f>
        <v>144</v>
      </c>
      <c r="H65" s="49">
        <f>E65/$E$56</f>
        <v>0.4</v>
      </c>
    </row>
    <row r="66" spans="1:19" x14ac:dyDescent="0.25">
      <c r="A66" s="44"/>
      <c r="B66" s="44" t="s">
        <v>29</v>
      </c>
      <c r="C66" s="47" t="s">
        <v>8</v>
      </c>
      <c r="D66" s="76">
        <v>59</v>
      </c>
      <c r="E66" s="74">
        <v>94</v>
      </c>
      <c r="F66" s="45">
        <f>E66*D66</f>
        <v>5546</v>
      </c>
      <c r="G66" s="45">
        <f>E66*$G$61</f>
        <v>846</v>
      </c>
      <c r="H66" s="49">
        <f>E66/$E$56</f>
        <v>2.35</v>
      </c>
      <c r="L66" s="63"/>
    </row>
    <row r="67" spans="1:19" x14ac:dyDescent="0.25">
      <c r="A67" s="44"/>
      <c r="B67" s="44" t="s">
        <v>17</v>
      </c>
      <c r="C67" s="47" t="s">
        <v>92</v>
      </c>
      <c r="D67" s="76">
        <v>89</v>
      </c>
      <c r="E67" s="74">
        <v>16</v>
      </c>
      <c r="F67" s="45">
        <f>E67*D67</f>
        <v>1424</v>
      </c>
      <c r="G67" s="45">
        <f>E67*$G$61</f>
        <v>144</v>
      </c>
      <c r="H67" s="49">
        <f>E67/$E$56</f>
        <v>0.4</v>
      </c>
    </row>
    <row r="68" spans="1:19" x14ac:dyDescent="0.25">
      <c r="A68" s="44"/>
      <c r="B68" s="44"/>
      <c r="C68" s="47"/>
      <c r="D68" s="45"/>
      <c r="E68" s="48"/>
      <c r="F68" s="45"/>
      <c r="G68" s="45"/>
    </row>
    <row r="69" spans="1:19" x14ac:dyDescent="0.25">
      <c r="A69" s="44"/>
      <c r="B69" s="44" t="s">
        <v>12</v>
      </c>
      <c r="C69" s="44"/>
      <c r="D69" s="45"/>
      <c r="E69" s="48"/>
      <c r="F69" s="45"/>
      <c r="G69" s="45"/>
    </row>
    <row r="70" spans="1:19" ht="14" x14ac:dyDescent="0.25">
      <c r="A70" s="44"/>
      <c r="B70" s="44" t="s">
        <v>18</v>
      </c>
      <c r="C70" s="47" t="s">
        <v>94</v>
      </c>
      <c r="D70" s="76">
        <v>199</v>
      </c>
      <c r="E70" s="75">
        <v>6</v>
      </c>
      <c r="F70" s="53">
        <f>E70*D70</f>
        <v>1194</v>
      </c>
      <c r="G70" s="54">
        <f>E70*$G$34</f>
        <v>0</v>
      </c>
      <c r="H70" s="49">
        <f>E70/$E$56</f>
        <v>0.15</v>
      </c>
    </row>
    <row r="71" spans="1:19" x14ac:dyDescent="0.25">
      <c r="A71" s="44"/>
      <c r="B71" s="44"/>
      <c r="C71" s="47"/>
      <c r="D71" s="44"/>
      <c r="E71" s="44"/>
      <c r="F71" s="57">
        <f>SUM(F65:F70)</f>
        <v>8788</v>
      </c>
      <c r="G71" s="57">
        <f>SUM(G65:G70)</f>
        <v>1134</v>
      </c>
      <c r="L71" s="26" t="s">
        <v>119</v>
      </c>
    </row>
    <row r="72" spans="1:19" x14ac:dyDescent="0.25">
      <c r="A72" s="44"/>
      <c r="P72" s="26" t="s">
        <v>120</v>
      </c>
      <c r="Q72" s="26" t="s">
        <v>120</v>
      </c>
      <c r="R72" s="26"/>
      <c r="S72" s="26"/>
    </row>
    <row r="73" spans="1:19" x14ac:dyDescent="0.25">
      <c r="A73" s="44"/>
      <c r="B73" s="25" t="s">
        <v>72</v>
      </c>
      <c r="C73" s="38">
        <v>0.5</v>
      </c>
      <c r="D73" s="25" t="s">
        <v>86</v>
      </c>
      <c r="K73" s="25" t="s">
        <v>79</v>
      </c>
      <c r="L73" s="25" t="s">
        <v>42</v>
      </c>
      <c r="M73" s="25" t="s">
        <v>40</v>
      </c>
      <c r="N73" s="26" t="s">
        <v>43</v>
      </c>
      <c r="O73" s="25" t="s">
        <v>41</v>
      </c>
      <c r="P73" s="26" t="s">
        <v>37</v>
      </c>
      <c r="Q73" s="26" t="s">
        <v>52</v>
      </c>
      <c r="R73" s="26"/>
    </row>
    <row r="74" spans="1:19" x14ac:dyDescent="0.25">
      <c r="C74" s="28">
        <v>5</v>
      </c>
      <c r="D74" s="25" t="s">
        <v>73</v>
      </c>
      <c r="F74" s="26" t="s">
        <v>19</v>
      </c>
      <c r="G74" s="59"/>
      <c r="K74" s="25">
        <v>1</v>
      </c>
      <c r="L74" s="65">
        <v>0.25</v>
      </c>
      <c r="M74" s="66" t="e">
        <f>$M$77*L74</f>
        <v>#REF!</v>
      </c>
      <c r="N74" s="25">
        <v>0</v>
      </c>
      <c r="O74" s="40" t="e">
        <f t="shared" ref="O74:O93" si="5">ROUNDUP(M74/$I$16,0)</f>
        <v>#REF!</v>
      </c>
      <c r="P74" s="25" t="e">
        <f t="shared" ref="P74:P93" si="6">O74*$I$16</f>
        <v>#REF!</v>
      </c>
      <c r="Q74" s="55">
        <f>$I$6</f>
        <v>62780</v>
      </c>
      <c r="S74" s="55"/>
    </row>
    <row r="75" spans="1:19" x14ac:dyDescent="0.25">
      <c r="B75" s="44" t="s">
        <v>16</v>
      </c>
      <c r="D75" s="60">
        <f>$C$47</f>
        <v>5</v>
      </c>
      <c r="E75" s="48">
        <f>ROUND(E65*$C$73,0)</f>
        <v>8</v>
      </c>
      <c r="F75" s="61">
        <f>E75*D75</f>
        <v>40</v>
      </c>
      <c r="G75" s="59"/>
      <c r="K75" s="25">
        <v>2</v>
      </c>
      <c r="L75" s="104">
        <v>0.5</v>
      </c>
      <c r="M75" s="66" t="e">
        <f>$M$77*L75</f>
        <v>#REF!</v>
      </c>
      <c r="N75" s="67" t="e">
        <f t="shared" ref="N75:N93" si="7">M75-M74</f>
        <v>#REF!</v>
      </c>
      <c r="O75" s="40" t="e">
        <f t="shared" si="5"/>
        <v>#REF!</v>
      </c>
      <c r="P75" s="25" t="e">
        <f t="shared" si="6"/>
        <v>#REF!</v>
      </c>
      <c r="Q75" s="55" t="e">
        <f>(O75-O74)*$I$6</f>
        <v>#REF!</v>
      </c>
    </row>
    <row r="76" spans="1:19" x14ac:dyDescent="0.25">
      <c r="B76" s="44" t="s">
        <v>29</v>
      </c>
      <c r="D76" s="60">
        <f>$C$47</f>
        <v>5</v>
      </c>
      <c r="E76" s="48">
        <f>ROUND(E66*$C$73,0)</f>
        <v>47</v>
      </c>
      <c r="F76" s="61">
        <f>E76*D76</f>
        <v>235</v>
      </c>
      <c r="G76" s="59"/>
      <c r="K76" s="25">
        <v>3</v>
      </c>
      <c r="L76" s="104">
        <v>0.75</v>
      </c>
      <c r="M76" s="66" t="e">
        <f>$M$77*L76</f>
        <v>#REF!</v>
      </c>
      <c r="N76" s="67" t="e">
        <f t="shared" si="7"/>
        <v>#REF!</v>
      </c>
      <c r="O76" s="40" t="e">
        <f t="shared" si="5"/>
        <v>#REF!</v>
      </c>
      <c r="P76" s="25" t="e">
        <f t="shared" si="6"/>
        <v>#REF!</v>
      </c>
      <c r="Q76" s="55" t="e">
        <f t="shared" ref="Q76:Q93" si="8">(O76-O75)*$I$6</f>
        <v>#REF!</v>
      </c>
    </row>
    <row r="77" spans="1:19" x14ac:dyDescent="0.25">
      <c r="B77" s="44" t="s">
        <v>17</v>
      </c>
      <c r="D77" s="60">
        <f>$C$47</f>
        <v>5</v>
      </c>
      <c r="E77" s="48">
        <f>ROUND(E67*$C$73,0)</f>
        <v>8</v>
      </c>
      <c r="F77" s="61">
        <f>E77*D77</f>
        <v>40</v>
      </c>
      <c r="G77" s="59"/>
      <c r="K77" s="25">
        <v>4</v>
      </c>
      <c r="L77" s="65">
        <v>1</v>
      </c>
      <c r="M77" s="68" t="e">
        <f>#REF!</f>
        <v>#REF!</v>
      </c>
      <c r="N77" s="67" t="e">
        <f t="shared" si="7"/>
        <v>#REF!</v>
      </c>
      <c r="O77" s="40" t="e">
        <f t="shared" si="5"/>
        <v>#REF!</v>
      </c>
      <c r="P77" s="25" t="e">
        <f t="shared" si="6"/>
        <v>#REF!</v>
      </c>
      <c r="Q77" s="55" t="e">
        <f t="shared" si="8"/>
        <v>#REF!</v>
      </c>
    </row>
    <row r="78" spans="1:19" x14ac:dyDescent="0.25">
      <c r="E78" s="48"/>
      <c r="F78" s="61"/>
      <c r="K78" s="25">
        <v>5</v>
      </c>
      <c r="L78" s="65">
        <v>1.25</v>
      </c>
      <c r="M78" s="66" t="e">
        <f>ROUND(($M$81-$M$77)/4,0)+M77</f>
        <v>#REF!</v>
      </c>
      <c r="N78" s="67" t="e">
        <f t="shared" si="7"/>
        <v>#REF!</v>
      </c>
      <c r="O78" s="40" t="e">
        <f t="shared" si="5"/>
        <v>#REF!</v>
      </c>
      <c r="P78" s="25" t="e">
        <f t="shared" si="6"/>
        <v>#REF!</v>
      </c>
      <c r="Q78" s="55" t="e">
        <f>(O78-O77)*$I$6</f>
        <v>#REF!</v>
      </c>
    </row>
    <row r="79" spans="1:19" x14ac:dyDescent="0.25">
      <c r="B79" s="44" t="s">
        <v>12</v>
      </c>
      <c r="E79" s="48"/>
      <c r="F79" s="61"/>
      <c r="K79" s="25">
        <v>6</v>
      </c>
      <c r="L79" s="65">
        <v>1.5</v>
      </c>
      <c r="M79" s="66" t="e">
        <f>ROUND(($M$81-$M$77)/4,0)+M78</f>
        <v>#REF!</v>
      </c>
      <c r="N79" s="67" t="e">
        <f t="shared" si="7"/>
        <v>#REF!</v>
      </c>
      <c r="O79" s="40" t="e">
        <f t="shared" si="5"/>
        <v>#REF!</v>
      </c>
      <c r="P79" s="25" t="e">
        <f t="shared" si="6"/>
        <v>#REF!</v>
      </c>
      <c r="Q79" s="55" t="e">
        <f t="shared" si="8"/>
        <v>#REF!</v>
      </c>
    </row>
    <row r="80" spans="1:19" x14ac:dyDescent="0.25">
      <c r="B80" s="44" t="s">
        <v>18</v>
      </c>
      <c r="D80" s="60">
        <f>$C$47</f>
        <v>5</v>
      </c>
      <c r="E80" s="48">
        <v>0</v>
      </c>
      <c r="F80" s="62">
        <f>E80*D80</f>
        <v>0</v>
      </c>
      <c r="G80" s="25" t="s">
        <v>87</v>
      </c>
      <c r="K80" s="25">
        <v>7</v>
      </c>
      <c r="L80" s="65">
        <v>1.75</v>
      </c>
      <c r="M80" s="66" t="e">
        <f>ROUND(($M$81-$M$77)/4,0)+M79</f>
        <v>#REF!</v>
      </c>
      <c r="N80" s="67" t="e">
        <f t="shared" si="7"/>
        <v>#REF!</v>
      </c>
      <c r="O80" s="40" t="e">
        <f t="shared" si="5"/>
        <v>#REF!</v>
      </c>
      <c r="P80" s="25" t="e">
        <f t="shared" si="6"/>
        <v>#REF!</v>
      </c>
      <c r="Q80" s="55" t="e">
        <f t="shared" si="8"/>
        <v>#REF!</v>
      </c>
    </row>
    <row r="81" spans="1:18" x14ac:dyDescent="0.25">
      <c r="F81" s="61">
        <f>SUM(F75:F80)</f>
        <v>315</v>
      </c>
      <c r="K81" s="25">
        <v>8</v>
      </c>
      <c r="L81" s="65">
        <v>2</v>
      </c>
      <c r="M81" s="68">
        <v>600</v>
      </c>
      <c r="N81" s="67" t="e">
        <f t="shared" si="7"/>
        <v>#REF!</v>
      </c>
      <c r="O81" s="40">
        <f t="shared" si="5"/>
        <v>3</v>
      </c>
      <c r="P81" s="25">
        <f t="shared" si="6"/>
        <v>600</v>
      </c>
      <c r="Q81" s="55" t="e">
        <f t="shared" si="8"/>
        <v>#REF!</v>
      </c>
    </row>
    <row r="82" spans="1:18" ht="25" x14ac:dyDescent="0.25">
      <c r="B82" s="81" t="s">
        <v>138</v>
      </c>
      <c r="C82" s="20" t="s">
        <v>137</v>
      </c>
      <c r="D82" s="20" t="s">
        <v>4</v>
      </c>
      <c r="F82" s="61"/>
      <c r="K82" s="25">
        <v>9</v>
      </c>
      <c r="L82" s="65">
        <v>2.25</v>
      </c>
      <c r="M82" s="66">
        <f>M81+ROUND(($M$85-$M$81)/4,0)</f>
        <v>900</v>
      </c>
      <c r="N82" s="67">
        <f t="shared" si="7"/>
        <v>300</v>
      </c>
      <c r="O82" s="40">
        <f t="shared" si="5"/>
        <v>5</v>
      </c>
      <c r="P82" s="25">
        <f t="shared" si="6"/>
        <v>1000</v>
      </c>
      <c r="Q82" s="55">
        <f t="shared" si="8"/>
        <v>125560</v>
      </c>
    </row>
    <row r="83" spans="1:18" x14ac:dyDescent="0.25">
      <c r="B83" s="77" t="s">
        <v>136</v>
      </c>
      <c r="C83" s="38">
        <v>1</v>
      </c>
      <c r="D83" s="82">
        <v>2</v>
      </c>
      <c r="E83" s="83">
        <f>SUM(E65:E67)*C83</f>
        <v>126</v>
      </c>
      <c r="F83" s="61">
        <f>E83*D83</f>
        <v>252</v>
      </c>
      <c r="K83" s="25">
        <v>10</v>
      </c>
      <c r="L83" s="65">
        <v>2.5</v>
      </c>
      <c r="M83" s="66">
        <f>M82+ROUND(($M$85-$M$81)/4,0)</f>
        <v>1200</v>
      </c>
      <c r="N83" s="67">
        <f t="shared" si="7"/>
        <v>300</v>
      </c>
      <c r="O83" s="40">
        <f t="shared" si="5"/>
        <v>6</v>
      </c>
      <c r="P83" s="25">
        <f t="shared" si="6"/>
        <v>1200</v>
      </c>
      <c r="Q83" s="55">
        <f t="shared" si="8"/>
        <v>62780</v>
      </c>
    </row>
    <row r="84" spans="1:18" x14ac:dyDescent="0.25">
      <c r="B84" s="77" t="s">
        <v>140</v>
      </c>
      <c r="F84" s="61"/>
      <c r="K84" s="25">
        <v>11</v>
      </c>
      <c r="L84" s="65">
        <v>2.75</v>
      </c>
      <c r="M84" s="66">
        <f>M83+ROUND(($M$85-$M$81)/4,0)</f>
        <v>1500</v>
      </c>
      <c r="N84" s="67">
        <f t="shared" si="7"/>
        <v>300</v>
      </c>
      <c r="O84" s="40">
        <f t="shared" si="5"/>
        <v>8</v>
      </c>
      <c r="P84" s="25">
        <f t="shared" si="6"/>
        <v>1600</v>
      </c>
      <c r="Q84" s="55">
        <f t="shared" si="8"/>
        <v>125560</v>
      </c>
    </row>
    <row r="85" spans="1:18" x14ac:dyDescent="0.25">
      <c r="B85" s="77" t="s">
        <v>139</v>
      </c>
      <c r="F85" s="61"/>
      <c r="K85" s="25">
        <v>12</v>
      </c>
      <c r="L85" s="65">
        <v>3</v>
      </c>
      <c r="M85" s="68">
        <v>1800</v>
      </c>
      <c r="N85" s="67">
        <f t="shared" si="7"/>
        <v>300</v>
      </c>
      <c r="O85" s="40">
        <f t="shared" si="5"/>
        <v>9</v>
      </c>
      <c r="P85" s="25">
        <f t="shared" si="6"/>
        <v>1800</v>
      </c>
      <c r="Q85" s="55">
        <f t="shared" si="8"/>
        <v>62780</v>
      </c>
    </row>
    <row r="86" spans="1:18" x14ac:dyDescent="0.25">
      <c r="C86" s="20" t="s">
        <v>142</v>
      </c>
      <c r="F86" s="61"/>
      <c r="G86" s="61">
        <f>SUM(F83:F85)</f>
        <v>252</v>
      </c>
      <c r="K86" s="25">
        <v>13</v>
      </c>
      <c r="L86" s="65">
        <v>3.25</v>
      </c>
      <c r="M86" s="66">
        <f>M85+ROUND(($M$89-$M$85)/4,0)</f>
        <v>1975</v>
      </c>
      <c r="N86" s="67">
        <f t="shared" si="7"/>
        <v>175</v>
      </c>
      <c r="O86" s="40">
        <f t="shared" si="5"/>
        <v>10</v>
      </c>
      <c r="P86" s="25">
        <f t="shared" si="6"/>
        <v>2000</v>
      </c>
      <c r="Q86" s="55">
        <f t="shared" si="8"/>
        <v>62780</v>
      </c>
    </row>
    <row r="87" spans="1:18" x14ac:dyDescent="0.25">
      <c r="K87" s="25">
        <v>14</v>
      </c>
      <c r="L87" s="65">
        <v>3.5</v>
      </c>
      <c r="M87" s="66">
        <f>M86+ROUND(($M$89-$M$85)/4,0)</f>
        <v>2150</v>
      </c>
      <c r="N87" s="67">
        <f t="shared" si="7"/>
        <v>175</v>
      </c>
      <c r="O87" s="40">
        <f t="shared" si="5"/>
        <v>11</v>
      </c>
      <c r="P87" s="25">
        <f t="shared" si="6"/>
        <v>2200</v>
      </c>
      <c r="Q87" s="55">
        <f t="shared" si="8"/>
        <v>62780</v>
      </c>
    </row>
    <row r="88" spans="1:18" x14ac:dyDescent="0.25">
      <c r="B88" s="44" t="s">
        <v>14</v>
      </c>
      <c r="C88" s="47"/>
      <c r="D88" s="44"/>
      <c r="E88" s="48">
        <f>SUM(E65:E70)</f>
        <v>132</v>
      </c>
      <c r="G88" s="57">
        <f>F71+G71+F81+G86</f>
        <v>10489</v>
      </c>
      <c r="K88" s="25">
        <v>15</v>
      </c>
      <c r="L88" s="65">
        <v>3.75</v>
      </c>
      <c r="M88" s="66">
        <f>M87+ROUND(($M$89-$M$85)/4,0)</f>
        <v>2325</v>
      </c>
      <c r="N88" s="67">
        <f t="shared" si="7"/>
        <v>175</v>
      </c>
      <c r="O88" s="40">
        <f t="shared" si="5"/>
        <v>12</v>
      </c>
      <c r="P88" s="25">
        <f t="shared" si="6"/>
        <v>2400</v>
      </c>
      <c r="Q88" s="55">
        <f t="shared" si="8"/>
        <v>62780</v>
      </c>
    </row>
    <row r="89" spans="1:18" ht="39.65" customHeight="1" x14ac:dyDescent="0.3">
      <c r="B89" s="145" t="s">
        <v>141</v>
      </c>
      <c r="C89" s="145"/>
      <c r="D89" s="145"/>
      <c r="E89" s="105">
        <f>G88/E88</f>
        <v>79.462121212121218</v>
      </c>
      <c r="F89" s="7"/>
      <c r="G89" s="84"/>
      <c r="K89" s="25">
        <v>16</v>
      </c>
      <c r="L89" s="65">
        <v>4</v>
      </c>
      <c r="M89" s="68">
        <v>2500</v>
      </c>
      <c r="N89" s="67">
        <f t="shared" si="7"/>
        <v>175</v>
      </c>
      <c r="O89" s="40">
        <f t="shared" si="5"/>
        <v>13</v>
      </c>
      <c r="P89" s="25">
        <f t="shared" si="6"/>
        <v>2600</v>
      </c>
      <c r="Q89" s="55">
        <f t="shared" si="8"/>
        <v>62780</v>
      </c>
    </row>
    <row r="90" spans="1:18" x14ac:dyDescent="0.25">
      <c r="K90" s="25">
        <v>17</v>
      </c>
      <c r="L90" s="65">
        <v>4.25</v>
      </c>
      <c r="M90" s="66">
        <f>M89+ROUND(($M$93-$M$89)/4,0)</f>
        <v>2750</v>
      </c>
      <c r="N90" s="67">
        <f t="shared" si="7"/>
        <v>250</v>
      </c>
      <c r="O90" s="40">
        <f t="shared" si="5"/>
        <v>14</v>
      </c>
      <c r="P90" s="25">
        <f t="shared" si="6"/>
        <v>2800</v>
      </c>
      <c r="Q90" s="55">
        <f t="shared" si="8"/>
        <v>62780</v>
      </c>
    </row>
    <row r="91" spans="1:18" x14ac:dyDescent="0.25">
      <c r="K91" s="25">
        <v>18</v>
      </c>
      <c r="L91" s="65">
        <v>4.5</v>
      </c>
      <c r="M91" s="66">
        <f>M90+ROUND(($M$93-$M$89)/4,0)</f>
        <v>3000</v>
      </c>
      <c r="N91" s="67">
        <f t="shared" si="7"/>
        <v>250</v>
      </c>
      <c r="O91" s="40">
        <f t="shared" si="5"/>
        <v>15</v>
      </c>
      <c r="P91" s="25">
        <f t="shared" si="6"/>
        <v>3000</v>
      </c>
      <c r="Q91" s="55">
        <f t="shared" si="8"/>
        <v>62780</v>
      </c>
    </row>
    <row r="92" spans="1:18" ht="15.5" x14ac:dyDescent="0.35">
      <c r="A92" s="117" t="s">
        <v>125</v>
      </c>
      <c r="B92" s="118"/>
      <c r="C92" s="118"/>
      <c r="D92" s="118"/>
      <c r="E92" s="118"/>
      <c r="F92" s="118"/>
      <c r="G92" s="118"/>
      <c r="H92" s="118"/>
      <c r="K92" s="25">
        <v>19</v>
      </c>
      <c r="L92" s="65">
        <v>4.75</v>
      </c>
      <c r="M92" s="66">
        <f>M91+ROUND(($M$93-$M$89)/4,0)</f>
        <v>3250</v>
      </c>
      <c r="N92" s="67">
        <f t="shared" si="7"/>
        <v>250</v>
      </c>
      <c r="O92" s="40">
        <f t="shared" si="5"/>
        <v>17</v>
      </c>
      <c r="P92" s="25">
        <f t="shared" si="6"/>
        <v>3400</v>
      </c>
      <c r="Q92" s="55">
        <f t="shared" si="8"/>
        <v>125560</v>
      </c>
    </row>
    <row r="93" spans="1:18" x14ac:dyDescent="0.25">
      <c r="A93" s="118"/>
      <c r="B93" s="118"/>
      <c r="C93" s="118"/>
      <c r="D93" s="118"/>
      <c r="E93" s="118"/>
      <c r="F93" s="118"/>
      <c r="G93" s="118"/>
      <c r="H93" s="118"/>
      <c r="K93" s="25">
        <v>20</v>
      </c>
      <c r="L93" s="65">
        <v>5</v>
      </c>
      <c r="M93" s="68">
        <v>3500</v>
      </c>
      <c r="N93" s="67">
        <f t="shared" si="7"/>
        <v>250</v>
      </c>
      <c r="O93" s="40">
        <f t="shared" si="5"/>
        <v>18</v>
      </c>
      <c r="P93" s="25">
        <f t="shared" si="6"/>
        <v>3600</v>
      </c>
      <c r="Q93" s="55">
        <f t="shared" si="8"/>
        <v>62780</v>
      </c>
    </row>
    <row r="94" spans="1:18" x14ac:dyDescent="0.25">
      <c r="A94" s="119"/>
      <c r="B94" s="119" t="s">
        <v>13</v>
      </c>
      <c r="C94" s="119"/>
      <c r="D94" s="119"/>
      <c r="E94" s="119"/>
      <c r="F94" s="119"/>
      <c r="G94" s="120"/>
      <c r="H94" s="118"/>
    </row>
    <row r="95" spans="1:18" x14ac:dyDescent="0.25">
      <c r="A95" s="119"/>
      <c r="B95" s="119"/>
      <c r="C95" s="119"/>
      <c r="D95" s="121" t="s">
        <v>4</v>
      </c>
      <c r="E95" s="121" t="s">
        <v>5</v>
      </c>
      <c r="F95" s="121" t="s">
        <v>23</v>
      </c>
      <c r="G95" s="121"/>
      <c r="H95" s="118"/>
    </row>
    <row r="96" spans="1:18" x14ac:dyDescent="0.25">
      <c r="A96" s="119"/>
      <c r="B96" s="119" t="s">
        <v>16</v>
      </c>
      <c r="C96" s="122" t="s">
        <v>7</v>
      </c>
      <c r="D96" s="120">
        <v>12</v>
      </c>
      <c r="E96" s="123">
        <f>E38</f>
        <v>0</v>
      </c>
      <c r="F96" s="120">
        <f>E96*D96</f>
        <v>0</v>
      </c>
      <c r="G96" s="120"/>
      <c r="H96" s="118"/>
      <c r="L96" s="26" t="s">
        <v>121</v>
      </c>
      <c r="R96"/>
    </row>
    <row r="97" spans="1:24" x14ac:dyDescent="0.25">
      <c r="A97" s="119"/>
      <c r="B97" s="119" t="s">
        <v>163</v>
      </c>
      <c r="C97" s="122" t="s">
        <v>8</v>
      </c>
      <c r="D97" s="120">
        <v>15</v>
      </c>
      <c r="E97" s="123">
        <f>E39</f>
        <v>0</v>
      </c>
      <c r="F97" s="120">
        <f>E97*D97</f>
        <v>0</v>
      </c>
      <c r="G97" s="120"/>
      <c r="H97" s="118"/>
      <c r="P97"/>
      <c r="Q97" s="20"/>
    </row>
    <row r="98" spans="1:24" ht="31.75" customHeight="1" x14ac:dyDescent="0.25">
      <c r="A98" s="119"/>
      <c r="B98" s="119" t="s">
        <v>17</v>
      </c>
      <c r="C98" s="122" t="s">
        <v>92</v>
      </c>
      <c r="D98" s="120">
        <v>22</v>
      </c>
      <c r="E98" s="123">
        <f>E40</f>
        <v>0</v>
      </c>
      <c r="F98" s="120">
        <f>E98*D98</f>
        <v>0</v>
      </c>
      <c r="G98" s="120"/>
      <c r="H98" s="118"/>
      <c r="K98" s="25" t="s">
        <v>79</v>
      </c>
      <c r="L98" s="25" t="s">
        <v>42</v>
      </c>
      <c r="M98" s="25" t="s">
        <v>40</v>
      </c>
      <c r="N98" s="26" t="s">
        <v>43</v>
      </c>
      <c r="O98" s="86" t="s">
        <v>154</v>
      </c>
      <c r="P98" s="86" t="s">
        <v>156</v>
      </c>
      <c r="Q98" s="86" t="s">
        <v>149</v>
      </c>
      <c r="R98" s="88" t="s">
        <v>155</v>
      </c>
      <c r="S98" s="88" t="s">
        <v>157</v>
      </c>
      <c r="T98" s="88" t="s">
        <v>158</v>
      </c>
      <c r="U98" s="87" t="s">
        <v>152</v>
      </c>
      <c r="V98" s="20" t="s">
        <v>153</v>
      </c>
      <c r="W98" s="88" t="s">
        <v>160</v>
      </c>
      <c r="X98" s="20"/>
    </row>
    <row r="99" spans="1:24" x14ac:dyDescent="0.25">
      <c r="A99" s="119"/>
      <c r="B99" s="119"/>
      <c r="C99" s="122"/>
      <c r="D99" s="120"/>
      <c r="E99" s="123"/>
      <c r="F99" s="120"/>
      <c r="G99" s="120"/>
      <c r="H99" s="118"/>
      <c r="K99" s="25">
        <v>1</v>
      </c>
      <c r="L99" s="65">
        <v>0.33</v>
      </c>
      <c r="M99" s="66">
        <f>$M$102*L99</f>
        <v>43.56</v>
      </c>
      <c r="N99" s="25">
        <v>0</v>
      </c>
      <c r="O99" s="20">
        <v>132</v>
      </c>
      <c r="P99" s="89">
        <v>33</v>
      </c>
      <c r="Q99" s="67">
        <f>N100</f>
        <v>35.64</v>
      </c>
      <c r="R99" s="25">
        <v>132</v>
      </c>
      <c r="S99" s="25">
        <f t="shared" ref="S99:S118" si="9">VLOOKUP(U99+1,Step,2,FALSE)</f>
        <v>200</v>
      </c>
      <c r="T99" s="25">
        <v>0</v>
      </c>
      <c r="U99" s="40">
        <v>1</v>
      </c>
      <c r="V99" s="25">
        <f>VLOOKUP(U99,$J$122:$O$161,6,FALSE)</f>
        <v>59023</v>
      </c>
      <c r="W99" s="55">
        <f>V99</f>
        <v>59023</v>
      </c>
    </row>
    <row r="100" spans="1:24" x14ac:dyDescent="0.25">
      <c r="A100" s="119"/>
      <c r="B100" s="119" t="s">
        <v>12</v>
      </c>
      <c r="C100" s="119"/>
      <c r="D100" s="120"/>
      <c r="E100" s="123"/>
      <c r="F100" s="120"/>
      <c r="G100" s="120"/>
      <c r="H100" s="118"/>
      <c r="K100" s="25">
        <v>2</v>
      </c>
      <c r="L100" s="65">
        <v>0.6</v>
      </c>
      <c r="M100" s="66">
        <f t="shared" ref="M100" si="10">$M$102*L100</f>
        <v>79.2</v>
      </c>
      <c r="N100" s="67">
        <f t="shared" ref="N100:N118" si="11">M100-M99</f>
        <v>35.64</v>
      </c>
      <c r="O100" s="67">
        <f>R99</f>
        <v>132</v>
      </c>
      <c r="P100" s="67">
        <f>Q99+P99</f>
        <v>68.64</v>
      </c>
      <c r="Q100" s="67">
        <f>N101</f>
        <v>26.400000000000006</v>
      </c>
      <c r="R100" s="40">
        <f t="shared" ref="R100:R118" si="12">VLOOKUP(U99+T100,Step,2,FALSE)</f>
        <v>132</v>
      </c>
      <c r="S100" s="25">
        <f t="shared" si="9"/>
        <v>200</v>
      </c>
      <c r="T100" s="40">
        <f>IF(P100+Q100&lt;O100,0,1)</f>
        <v>0</v>
      </c>
      <c r="U100" s="40">
        <f>U99+T100</f>
        <v>1</v>
      </c>
      <c r="V100" s="25">
        <f>VLOOKUP(U100,$J$122:$O$161,6,FALSE)</f>
        <v>59023</v>
      </c>
      <c r="W100" s="55">
        <f>V100-V99</f>
        <v>0</v>
      </c>
      <c r="X100" s="40"/>
    </row>
    <row r="101" spans="1:24" ht="14" x14ac:dyDescent="0.25">
      <c r="A101" s="119"/>
      <c r="B101" s="119" t="s">
        <v>18</v>
      </c>
      <c r="C101" s="122" t="s">
        <v>94</v>
      </c>
      <c r="D101" s="120">
        <v>39</v>
      </c>
      <c r="E101" s="124">
        <f>E43</f>
        <v>40</v>
      </c>
      <c r="F101" s="125">
        <f>E101*D101</f>
        <v>1560</v>
      </c>
      <c r="G101" s="126"/>
      <c r="H101" s="118"/>
      <c r="K101" s="25">
        <v>3</v>
      </c>
      <c r="L101" s="65">
        <v>0.8</v>
      </c>
      <c r="M101" s="66">
        <f>$M$102*L101</f>
        <v>105.60000000000001</v>
      </c>
      <c r="N101" s="67">
        <f t="shared" si="11"/>
        <v>26.400000000000006</v>
      </c>
      <c r="O101" s="67">
        <f t="shared" ref="O101:O105" si="13">R100</f>
        <v>132</v>
      </c>
      <c r="P101" s="67">
        <f t="shared" ref="P101:P105" si="14">Q100+P100</f>
        <v>95.04</v>
      </c>
      <c r="Q101" s="67">
        <f t="shared" ref="Q101:Q105" si="15">N102</f>
        <v>26.399999999999991</v>
      </c>
      <c r="R101" s="40">
        <f t="shared" si="12"/>
        <v>132</v>
      </c>
      <c r="S101" s="25">
        <f t="shared" si="9"/>
        <v>200</v>
      </c>
      <c r="T101" s="40">
        <f t="shared" ref="T101:T105" si="16">IF(P101+Q101&lt;O101,0,1)</f>
        <v>0</v>
      </c>
      <c r="U101" s="40">
        <f t="shared" ref="U101:U105" si="17">U100+T101</f>
        <v>1</v>
      </c>
      <c r="V101" s="25">
        <f t="shared" ref="V101:V118" si="18">VLOOKUP(U101,$J$122:$O$161,6,FALSE)</f>
        <v>59023</v>
      </c>
      <c r="W101" s="55">
        <f t="shared" ref="W101:W118" si="19">V101-V100</f>
        <v>0</v>
      </c>
      <c r="X101" s="40"/>
    </row>
    <row r="102" spans="1:24" x14ac:dyDescent="0.25">
      <c r="A102" s="119"/>
      <c r="B102" s="119"/>
      <c r="C102" s="122"/>
      <c r="D102" s="119"/>
      <c r="E102" s="127">
        <f>SUM(E96:E101)</f>
        <v>40</v>
      </c>
      <c r="F102" s="128">
        <f>SUM(F96:F101)</f>
        <v>1560</v>
      </c>
      <c r="G102" s="128"/>
      <c r="H102" s="118"/>
      <c r="K102" s="25">
        <v>4</v>
      </c>
      <c r="L102" s="65">
        <v>1</v>
      </c>
      <c r="M102" s="68">
        <f>'Macro Light'!C6</f>
        <v>132</v>
      </c>
      <c r="N102" s="67">
        <f t="shared" si="11"/>
        <v>26.399999999999991</v>
      </c>
      <c r="O102" s="67">
        <f t="shared" si="13"/>
        <v>132</v>
      </c>
      <c r="P102" s="67">
        <f t="shared" si="14"/>
        <v>121.44</v>
      </c>
      <c r="Q102" s="67">
        <f t="shared" si="15"/>
        <v>33</v>
      </c>
      <c r="R102" s="40">
        <f t="shared" si="12"/>
        <v>200</v>
      </c>
      <c r="S102" s="25">
        <f t="shared" si="9"/>
        <v>332</v>
      </c>
      <c r="T102" s="40">
        <f t="shared" si="16"/>
        <v>1</v>
      </c>
      <c r="U102" s="40">
        <f t="shared" si="17"/>
        <v>2</v>
      </c>
      <c r="V102" s="25">
        <f t="shared" si="18"/>
        <v>77916</v>
      </c>
      <c r="W102" s="55">
        <f t="shared" si="19"/>
        <v>18893</v>
      </c>
      <c r="X102" s="40"/>
    </row>
    <row r="103" spans="1:24" x14ac:dyDescent="0.25">
      <c r="A103" s="119"/>
      <c r="B103" s="118"/>
      <c r="C103" s="118"/>
      <c r="D103" s="118"/>
      <c r="E103" s="118"/>
      <c r="F103" s="118"/>
      <c r="G103" s="128"/>
      <c r="H103" s="118"/>
      <c r="K103" s="25">
        <v>5</v>
      </c>
      <c r="L103" s="65">
        <v>1.25</v>
      </c>
      <c r="M103" s="66">
        <f>ROUND(($M$106-$M$102)/4,0)+M102</f>
        <v>165</v>
      </c>
      <c r="N103" s="67">
        <f t="shared" si="11"/>
        <v>33</v>
      </c>
      <c r="O103" s="67">
        <f t="shared" si="13"/>
        <v>200</v>
      </c>
      <c r="P103" s="67">
        <f t="shared" si="14"/>
        <v>154.44</v>
      </c>
      <c r="Q103" s="67">
        <f t="shared" si="15"/>
        <v>33</v>
      </c>
      <c r="R103" s="40">
        <f t="shared" si="12"/>
        <v>200</v>
      </c>
      <c r="S103" s="25">
        <f t="shared" si="9"/>
        <v>332</v>
      </c>
      <c r="T103" s="40">
        <f t="shared" si="16"/>
        <v>0</v>
      </c>
      <c r="U103" s="40">
        <f t="shared" si="17"/>
        <v>2</v>
      </c>
      <c r="V103" s="25">
        <f t="shared" si="18"/>
        <v>77916</v>
      </c>
      <c r="W103" s="55">
        <f t="shared" si="19"/>
        <v>0</v>
      </c>
      <c r="X103" s="40"/>
    </row>
    <row r="104" spans="1:24" x14ac:dyDescent="0.25">
      <c r="A104" s="119"/>
      <c r="B104" s="118" t="s">
        <v>74</v>
      </c>
      <c r="C104" s="118"/>
      <c r="D104" s="118"/>
      <c r="E104" s="118"/>
      <c r="F104" s="118"/>
      <c r="G104" s="128"/>
      <c r="H104" s="118"/>
      <c r="K104" s="25">
        <v>6</v>
      </c>
      <c r="L104" s="65">
        <v>1.5</v>
      </c>
      <c r="M104" s="66">
        <f t="shared" ref="M104:M105" si="20">ROUND(($M$106-$M$102)/4,0)+M103</f>
        <v>198</v>
      </c>
      <c r="N104" s="67">
        <f t="shared" si="11"/>
        <v>33</v>
      </c>
      <c r="O104" s="67">
        <f t="shared" si="13"/>
        <v>200</v>
      </c>
      <c r="P104" s="67">
        <f t="shared" si="14"/>
        <v>187.44</v>
      </c>
      <c r="Q104" s="67">
        <f t="shared" si="15"/>
        <v>33</v>
      </c>
      <c r="R104" s="40">
        <f t="shared" si="12"/>
        <v>332</v>
      </c>
      <c r="S104" s="25">
        <f t="shared" si="9"/>
        <v>400</v>
      </c>
      <c r="T104" s="40">
        <f t="shared" si="16"/>
        <v>1</v>
      </c>
      <c r="U104" s="40">
        <f t="shared" si="17"/>
        <v>3</v>
      </c>
      <c r="V104" s="25">
        <f t="shared" si="18"/>
        <v>136939</v>
      </c>
      <c r="W104" s="55">
        <f t="shared" si="19"/>
        <v>59023</v>
      </c>
      <c r="X104" s="40"/>
    </row>
    <row r="105" spans="1:24" x14ac:dyDescent="0.25">
      <c r="A105" s="119"/>
      <c r="B105" s="118"/>
      <c r="C105" s="118"/>
      <c r="D105" s="118"/>
      <c r="E105" s="118"/>
      <c r="F105" s="118"/>
      <c r="G105" s="128"/>
      <c r="H105" s="118"/>
      <c r="K105" s="25">
        <v>7</v>
      </c>
      <c r="L105" s="65">
        <v>1.75</v>
      </c>
      <c r="M105" s="66">
        <f t="shared" si="20"/>
        <v>231</v>
      </c>
      <c r="N105" s="67">
        <f t="shared" si="11"/>
        <v>33</v>
      </c>
      <c r="O105" s="67">
        <f t="shared" si="13"/>
        <v>332</v>
      </c>
      <c r="P105" s="67">
        <f t="shared" si="14"/>
        <v>220.44</v>
      </c>
      <c r="Q105" s="67">
        <f t="shared" si="15"/>
        <v>33</v>
      </c>
      <c r="R105" s="40">
        <f t="shared" si="12"/>
        <v>332</v>
      </c>
      <c r="S105" s="25">
        <f t="shared" si="9"/>
        <v>400</v>
      </c>
      <c r="T105" s="40">
        <f t="shared" si="16"/>
        <v>0</v>
      </c>
      <c r="U105" s="40">
        <f t="shared" si="17"/>
        <v>3</v>
      </c>
      <c r="V105" s="25">
        <f t="shared" si="18"/>
        <v>136939</v>
      </c>
      <c r="W105" s="55">
        <f t="shared" si="19"/>
        <v>0</v>
      </c>
      <c r="X105" s="40"/>
    </row>
    <row r="106" spans="1:24" x14ac:dyDescent="0.25">
      <c r="A106" s="118"/>
      <c r="B106" s="119" t="s">
        <v>13</v>
      </c>
      <c r="C106" s="118"/>
      <c r="D106" s="118"/>
      <c r="E106" s="118"/>
      <c r="F106" s="118"/>
      <c r="G106" s="118"/>
      <c r="H106" s="118"/>
      <c r="K106" s="25">
        <v>8</v>
      </c>
      <c r="L106" s="65">
        <v>2</v>
      </c>
      <c r="M106" s="68">
        <f>'Macro Light'!D6</f>
        <v>264</v>
      </c>
      <c r="N106" s="67">
        <f t="shared" si="11"/>
        <v>33</v>
      </c>
      <c r="O106" s="67">
        <f t="shared" ref="O106:O118" si="21">R105</f>
        <v>332</v>
      </c>
      <c r="P106" s="67">
        <f t="shared" ref="P106:P118" si="22">Q105+P105</f>
        <v>253.44</v>
      </c>
      <c r="Q106" s="67">
        <f t="shared" ref="Q106:Q118" si="23">N107</f>
        <v>54</v>
      </c>
      <c r="R106" s="40">
        <f t="shared" si="12"/>
        <v>332</v>
      </c>
      <c r="S106" s="25">
        <f t="shared" si="9"/>
        <v>400</v>
      </c>
      <c r="T106" s="40">
        <f t="shared" ref="T106:T118" si="24">IF(P106+Q106&lt;O106,0,1)</f>
        <v>0</v>
      </c>
      <c r="U106" s="40">
        <f t="shared" ref="U106:U118" si="25">U105+T106</f>
        <v>3</v>
      </c>
      <c r="V106" s="25">
        <f t="shared" si="18"/>
        <v>136939</v>
      </c>
      <c r="W106" s="55">
        <f t="shared" si="19"/>
        <v>0</v>
      </c>
      <c r="X106" s="40"/>
    </row>
    <row r="107" spans="1:24" x14ac:dyDescent="0.25">
      <c r="A107" s="118"/>
      <c r="B107" s="119"/>
      <c r="C107" s="118"/>
      <c r="D107" s="118"/>
      <c r="E107" s="118"/>
      <c r="F107" s="118"/>
      <c r="G107" s="118"/>
      <c r="H107" s="118"/>
      <c r="K107" s="25">
        <v>9</v>
      </c>
      <c r="L107" s="65">
        <v>2.25</v>
      </c>
      <c r="M107" s="66">
        <f>M106+ROUND(($M$110-$M$106)/4,0)</f>
        <v>318</v>
      </c>
      <c r="N107" s="67">
        <f t="shared" si="11"/>
        <v>54</v>
      </c>
      <c r="O107" s="67">
        <f t="shared" si="21"/>
        <v>332</v>
      </c>
      <c r="P107" s="67">
        <f t="shared" si="22"/>
        <v>307.44</v>
      </c>
      <c r="Q107" s="67">
        <f t="shared" si="23"/>
        <v>54</v>
      </c>
      <c r="R107" s="40">
        <f t="shared" si="12"/>
        <v>400</v>
      </c>
      <c r="S107" s="25">
        <f t="shared" si="9"/>
        <v>532</v>
      </c>
      <c r="T107" s="40">
        <f t="shared" si="24"/>
        <v>1</v>
      </c>
      <c r="U107" s="40">
        <f t="shared" si="25"/>
        <v>4</v>
      </c>
      <c r="V107" s="25">
        <f t="shared" si="18"/>
        <v>155832</v>
      </c>
      <c r="W107" s="55">
        <f t="shared" si="19"/>
        <v>18893</v>
      </c>
      <c r="X107" s="40"/>
    </row>
    <row r="108" spans="1:24" x14ac:dyDescent="0.25">
      <c r="A108" s="118"/>
      <c r="B108" s="119" t="s">
        <v>16</v>
      </c>
      <c r="C108" s="118"/>
      <c r="D108" s="129">
        <v>1</v>
      </c>
      <c r="E108" s="130">
        <f>E48</f>
        <v>0</v>
      </c>
      <c r="F108" s="129">
        <f>E108*D108</f>
        <v>0</v>
      </c>
      <c r="G108" s="118"/>
      <c r="H108" s="118"/>
      <c r="K108" s="25">
        <v>10</v>
      </c>
      <c r="L108" s="65">
        <v>2.5</v>
      </c>
      <c r="M108" s="66">
        <f t="shared" ref="M108:M109" si="26">M107+ROUND(($M$110-$M$106)/4,0)</f>
        <v>372</v>
      </c>
      <c r="N108" s="67">
        <f t="shared" si="11"/>
        <v>54</v>
      </c>
      <c r="O108" s="67">
        <f t="shared" si="21"/>
        <v>400</v>
      </c>
      <c r="P108" s="67">
        <f t="shared" si="22"/>
        <v>361.44</v>
      </c>
      <c r="Q108" s="67">
        <f t="shared" si="23"/>
        <v>54</v>
      </c>
      <c r="R108" s="40">
        <f t="shared" si="12"/>
        <v>532</v>
      </c>
      <c r="S108" s="25">
        <f t="shared" si="9"/>
        <v>600</v>
      </c>
      <c r="T108" s="40">
        <f t="shared" si="24"/>
        <v>1</v>
      </c>
      <c r="U108" s="40">
        <f t="shared" si="25"/>
        <v>5</v>
      </c>
      <c r="V108" s="25">
        <f t="shared" si="18"/>
        <v>214855</v>
      </c>
      <c r="W108" s="55">
        <f t="shared" si="19"/>
        <v>59023</v>
      </c>
      <c r="X108" s="40"/>
    </row>
    <row r="109" spans="1:24" x14ac:dyDescent="0.25">
      <c r="A109" s="118"/>
      <c r="B109" s="119" t="s">
        <v>29</v>
      </c>
      <c r="C109" s="118"/>
      <c r="D109" s="129">
        <v>1</v>
      </c>
      <c r="E109" s="130">
        <f>E49</f>
        <v>0</v>
      </c>
      <c r="F109" s="129">
        <f>E109*D109</f>
        <v>0</v>
      </c>
      <c r="G109" s="118"/>
      <c r="H109" s="118"/>
      <c r="K109" s="25">
        <v>11</v>
      </c>
      <c r="L109" s="65">
        <v>2.75</v>
      </c>
      <c r="M109" s="66">
        <f t="shared" si="26"/>
        <v>426</v>
      </c>
      <c r="N109" s="67">
        <f t="shared" si="11"/>
        <v>54</v>
      </c>
      <c r="O109" s="67">
        <f t="shared" si="21"/>
        <v>532</v>
      </c>
      <c r="P109" s="67">
        <f t="shared" si="22"/>
        <v>415.44</v>
      </c>
      <c r="Q109" s="67">
        <f t="shared" si="23"/>
        <v>54</v>
      </c>
      <c r="R109" s="40">
        <f t="shared" si="12"/>
        <v>532</v>
      </c>
      <c r="S109" s="25">
        <f t="shared" si="9"/>
        <v>600</v>
      </c>
      <c r="T109" s="40">
        <f t="shared" si="24"/>
        <v>0</v>
      </c>
      <c r="U109" s="40">
        <f t="shared" si="25"/>
        <v>5</v>
      </c>
      <c r="V109" s="25">
        <f t="shared" si="18"/>
        <v>214855</v>
      </c>
      <c r="W109" s="55">
        <f t="shared" si="19"/>
        <v>0</v>
      </c>
      <c r="X109" s="40"/>
    </row>
    <row r="110" spans="1:24" x14ac:dyDescent="0.25">
      <c r="A110" s="118"/>
      <c r="B110" s="119" t="s">
        <v>17</v>
      </c>
      <c r="C110" s="118"/>
      <c r="D110" s="129">
        <v>1</v>
      </c>
      <c r="E110" s="130">
        <f>E50</f>
        <v>0</v>
      </c>
      <c r="F110" s="129">
        <f>E110*D110</f>
        <v>0</v>
      </c>
      <c r="G110" s="118"/>
      <c r="H110" s="118"/>
      <c r="K110" s="25">
        <v>12</v>
      </c>
      <c r="L110" s="65">
        <v>3</v>
      </c>
      <c r="M110" s="68">
        <f>'Macro Light'!E6</f>
        <v>480</v>
      </c>
      <c r="N110" s="67">
        <f t="shared" si="11"/>
        <v>54</v>
      </c>
      <c r="O110" s="67">
        <f t="shared" si="21"/>
        <v>532</v>
      </c>
      <c r="P110" s="67">
        <f t="shared" si="22"/>
        <v>469.44</v>
      </c>
      <c r="Q110" s="67">
        <f t="shared" si="23"/>
        <v>120</v>
      </c>
      <c r="R110" s="40">
        <f t="shared" si="12"/>
        <v>600</v>
      </c>
      <c r="S110" s="25">
        <f t="shared" si="9"/>
        <v>732</v>
      </c>
      <c r="T110" s="40">
        <f t="shared" si="24"/>
        <v>1</v>
      </c>
      <c r="U110" s="40">
        <f t="shared" si="25"/>
        <v>6</v>
      </c>
      <c r="V110" s="25">
        <f t="shared" si="18"/>
        <v>233748</v>
      </c>
      <c r="W110" s="55">
        <f t="shared" si="19"/>
        <v>18893</v>
      </c>
      <c r="X110" s="40"/>
    </row>
    <row r="111" spans="1:24" x14ac:dyDescent="0.25">
      <c r="A111" s="118"/>
      <c r="B111" s="119"/>
      <c r="C111" s="118"/>
      <c r="D111" s="129"/>
      <c r="E111" s="118"/>
      <c r="F111" s="129"/>
      <c r="G111" s="118"/>
      <c r="H111" s="118"/>
      <c r="K111" s="25">
        <v>13</v>
      </c>
      <c r="L111" s="65">
        <v>3.25</v>
      </c>
      <c r="M111" s="66">
        <f>M110+ROUND(($M$114-$M$110)/4,0)</f>
        <v>600</v>
      </c>
      <c r="N111" s="67">
        <f t="shared" si="11"/>
        <v>120</v>
      </c>
      <c r="O111" s="67">
        <f t="shared" si="21"/>
        <v>600</v>
      </c>
      <c r="P111" s="67">
        <f t="shared" si="22"/>
        <v>589.44000000000005</v>
      </c>
      <c r="Q111" s="67">
        <f t="shared" si="23"/>
        <v>120</v>
      </c>
      <c r="R111" s="40">
        <f t="shared" si="12"/>
        <v>732</v>
      </c>
      <c r="S111" s="25">
        <f t="shared" si="9"/>
        <v>800</v>
      </c>
      <c r="T111" s="40">
        <f t="shared" si="24"/>
        <v>1</v>
      </c>
      <c r="U111" s="40">
        <f t="shared" si="25"/>
        <v>7</v>
      </c>
      <c r="V111" s="25">
        <f t="shared" si="18"/>
        <v>292771</v>
      </c>
      <c r="W111" s="55">
        <f t="shared" si="19"/>
        <v>59023</v>
      </c>
      <c r="X111" s="40"/>
    </row>
    <row r="112" spans="1:24" x14ac:dyDescent="0.25">
      <c r="A112" s="118"/>
      <c r="B112" s="119" t="s">
        <v>12</v>
      </c>
      <c r="C112" s="118"/>
      <c r="D112" s="129"/>
      <c r="E112" s="118"/>
      <c r="F112" s="129"/>
      <c r="G112" s="118"/>
      <c r="H112" s="118"/>
      <c r="K112" s="25">
        <v>14</v>
      </c>
      <c r="L112" s="65">
        <v>3.5</v>
      </c>
      <c r="M112" s="66">
        <f t="shared" ref="M112:M113" si="27">M111+ROUND(($M$114-$M$110)/4,0)</f>
        <v>720</v>
      </c>
      <c r="N112" s="67">
        <f t="shared" si="11"/>
        <v>120</v>
      </c>
      <c r="O112" s="67">
        <f t="shared" si="21"/>
        <v>732</v>
      </c>
      <c r="P112" s="67">
        <f t="shared" si="22"/>
        <v>709.44</v>
      </c>
      <c r="Q112" s="67">
        <f t="shared" si="23"/>
        <v>120</v>
      </c>
      <c r="R112" s="40">
        <f t="shared" si="12"/>
        <v>800</v>
      </c>
      <c r="S112" s="25">
        <f t="shared" si="9"/>
        <v>932</v>
      </c>
      <c r="T112" s="40">
        <f t="shared" si="24"/>
        <v>1</v>
      </c>
      <c r="U112" s="40">
        <f t="shared" si="25"/>
        <v>8</v>
      </c>
      <c r="V112" s="25">
        <f t="shared" si="18"/>
        <v>311664</v>
      </c>
      <c r="W112" s="55">
        <f t="shared" si="19"/>
        <v>18893</v>
      </c>
      <c r="X112" s="40"/>
    </row>
    <row r="113" spans="1:24" x14ac:dyDescent="0.25">
      <c r="A113" s="118"/>
      <c r="B113" s="119" t="s">
        <v>18</v>
      </c>
      <c r="C113" s="118"/>
      <c r="D113" s="129">
        <v>1</v>
      </c>
      <c r="E113" s="130">
        <f>E53</f>
        <v>0</v>
      </c>
      <c r="F113" s="131">
        <f>E113*D113</f>
        <v>0</v>
      </c>
      <c r="G113" s="118"/>
      <c r="H113" s="118"/>
      <c r="K113" s="25">
        <v>15</v>
      </c>
      <c r="L113" s="65">
        <v>3.75</v>
      </c>
      <c r="M113" s="66">
        <f t="shared" si="27"/>
        <v>840</v>
      </c>
      <c r="N113" s="67">
        <f t="shared" si="11"/>
        <v>120</v>
      </c>
      <c r="O113" s="67">
        <f t="shared" si="21"/>
        <v>800</v>
      </c>
      <c r="P113" s="67">
        <f t="shared" si="22"/>
        <v>829.44</v>
      </c>
      <c r="Q113" s="67">
        <f t="shared" si="23"/>
        <v>120</v>
      </c>
      <c r="R113" s="40">
        <f t="shared" si="12"/>
        <v>932</v>
      </c>
      <c r="S113" s="25">
        <f t="shared" si="9"/>
        <v>1000</v>
      </c>
      <c r="T113" s="40">
        <f t="shared" si="24"/>
        <v>1</v>
      </c>
      <c r="U113" s="40">
        <f t="shared" si="25"/>
        <v>9</v>
      </c>
      <c r="V113" s="25">
        <f t="shared" si="18"/>
        <v>370687</v>
      </c>
      <c r="W113" s="55">
        <f t="shared" si="19"/>
        <v>59023</v>
      </c>
      <c r="X113" s="40"/>
    </row>
    <row r="114" spans="1:24" x14ac:dyDescent="0.25">
      <c r="A114" s="118"/>
      <c r="B114" s="118"/>
      <c r="C114" s="118"/>
      <c r="D114" s="118"/>
      <c r="E114" s="118"/>
      <c r="F114" s="129">
        <f>SUM(F108:F113)</f>
        <v>0</v>
      </c>
      <c r="G114" s="118"/>
      <c r="H114" s="118"/>
      <c r="K114" s="25">
        <v>16</v>
      </c>
      <c r="L114" s="65">
        <v>4</v>
      </c>
      <c r="M114" s="68">
        <f>'Macro Light'!F6</f>
        <v>960</v>
      </c>
      <c r="N114" s="67">
        <f t="shared" si="11"/>
        <v>120</v>
      </c>
      <c r="O114" s="67">
        <f t="shared" si="21"/>
        <v>932</v>
      </c>
      <c r="P114" s="67">
        <f t="shared" si="22"/>
        <v>949.44</v>
      </c>
      <c r="Q114" s="67">
        <f t="shared" si="23"/>
        <v>240</v>
      </c>
      <c r="R114" s="40">
        <f t="shared" si="12"/>
        <v>1000</v>
      </c>
      <c r="S114" s="25">
        <f t="shared" si="9"/>
        <v>1132</v>
      </c>
      <c r="T114" s="40">
        <f t="shared" si="24"/>
        <v>1</v>
      </c>
      <c r="U114" s="40">
        <f t="shared" si="25"/>
        <v>10</v>
      </c>
      <c r="V114" s="25">
        <f t="shared" si="18"/>
        <v>389580</v>
      </c>
      <c r="W114" s="55">
        <f t="shared" si="19"/>
        <v>18893</v>
      </c>
      <c r="X114" s="40"/>
    </row>
    <row r="115" spans="1:24" x14ac:dyDescent="0.25">
      <c r="A115" s="118"/>
      <c r="B115" s="118"/>
      <c r="C115" s="118"/>
      <c r="D115" s="118"/>
      <c r="E115" s="118">
        <v>200</v>
      </c>
      <c r="F115" s="128">
        <f>F102+F114</f>
        <v>1560</v>
      </c>
      <c r="G115" s="118"/>
      <c r="H115" s="118"/>
      <c r="K115" s="25">
        <v>17</v>
      </c>
      <c r="L115" s="65">
        <v>4.25</v>
      </c>
      <c r="M115" s="66">
        <f>M114+ROUND(($M$118-$M$114)/4,0)</f>
        <v>1200</v>
      </c>
      <c r="N115" s="67">
        <f t="shared" si="11"/>
        <v>240</v>
      </c>
      <c r="O115" s="67">
        <f t="shared" si="21"/>
        <v>1000</v>
      </c>
      <c r="P115" s="67">
        <f t="shared" si="22"/>
        <v>1189.44</v>
      </c>
      <c r="Q115" s="67">
        <f t="shared" si="23"/>
        <v>240</v>
      </c>
      <c r="R115" s="40">
        <f t="shared" si="12"/>
        <v>1132</v>
      </c>
      <c r="S115" s="25">
        <f t="shared" si="9"/>
        <v>1200</v>
      </c>
      <c r="T115" s="40">
        <f t="shared" si="24"/>
        <v>1</v>
      </c>
      <c r="U115" s="40">
        <f t="shared" si="25"/>
        <v>11</v>
      </c>
      <c r="V115" s="25">
        <f t="shared" si="18"/>
        <v>448603</v>
      </c>
      <c r="W115" s="55">
        <f t="shared" si="19"/>
        <v>59023</v>
      </c>
      <c r="X115" s="40"/>
    </row>
    <row r="116" spans="1:24" ht="14" x14ac:dyDescent="0.25">
      <c r="A116" s="118"/>
      <c r="B116" s="119" t="s">
        <v>110</v>
      </c>
      <c r="C116" s="122"/>
      <c r="D116" s="119"/>
      <c r="E116" s="128">
        <f>F115/E102</f>
        <v>39</v>
      </c>
      <c r="F116" s="132"/>
      <c r="G116" s="118"/>
      <c r="H116" s="118"/>
      <c r="K116" s="25">
        <v>18</v>
      </c>
      <c r="L116" s="65">
        <v>4.5</v>
      </c>
      <c r="M116" s="66">
        <f t="shared" ref="M116:M117" si="28">M115+ROUND(($M$118-$M$114)/4,0)</f>
        <v>1440</v>
      </c>
      <c r="N116" s="67">
        <f t="shared" si="11"/>
        <v>240</v>
      </c>
      <c r="O116" s="67">
        <f t="shared" si="21"/>
        <v>1132</v>
      </c>
      <c r="P116" s="67">
        <f t="shared" si="22"/>
        <v>1429.44</v>
      </c>
      <c r="Q116" s="67">
        <f t="shared" si="23"/>
        <v>240</v>
      </c>
      <c r="R116" s="40">
        <f t="shared" si="12"/>
        <v>1200</v>
      </c>
      <c r="S116" s="25">
        <f t="shared" si="9"/>
        <v>1332</v>
      </c>
      <c r="T116" s="40">
        <f t="shared" si="24"/>
        <v>1</v>
      </c>
      <c r="U116" s="40">
        <f t="shared" si="25"/>
        <v>12</v>
      </c>
      <c r="V116" s="25">
        <f t="shared" si="18"/>
        <v>467496</v>
      </c>
      <c r="W116" s="55">
        <f t="shared" si="19"/>
        <v>18893</v>
      </c>
      <c r="X116" s="40"/>
    </row>
    <row r="117" spans="1:24" x14ac:dyDescent="0.25">
      <c r="A117" s="118"/>
      <c r="B117" s="119"/>
      <c r="C117" s="122"/>
      <c r="D117" s="119"/>
      <c r="E117" s="119"/>
      <c r="F117" s="128"/>
      <c r="G117" s="118"/>
      <c r="H117" s="118"/>
      <c r="K117" s="25">
        <v>19</v>
      </c>
      <c r="L117" s="65">
        <v>4.75</v>
      </c>
      <c r="M117" s="66">
        <f t="shared" si="28"/>
        <v>1680</v>
      </c>
      <c r="N117" s="67">
        <f t="shared" si="11"/>
        <v>240</v>
      </c>
      <c r="O117" s="67">
        <f t="shared" si="21"/>
        <v>1200</v>
      </c>
      <c r="P117" s="67">
        <f t="shared" si="22"/>
        <v>1669.44</v>
      </c>
      <c r="Q117" s="67">
        <f t="shared" si="23"/>
        <v>240</v>
      </c>
      <c r="R117" s="40">
        <f t="shared" si="12"/>
        <v>1332</v>
      </c>
      <c r="S117" s="25">
        <f t="shared" si="9"/>
        <v>1400</v>
      </c>
      <c r="T117" s="40">
        <f t="shared" si="24"/>
        <v>1</v>
      </c>
      <c r="U117" s="40">
        <f t="shared" si="25"/>
        <v>13</v>
      </c>
      <c r="V117" s="25">
        <f t="shared" si="18"/>
        <v>526519</v>
      </c>
      <c r="W117" s="55">
        <f t="shared" si="19"/>
        <v>59023</v>
      </c>
      <c r="X117" s="40"/>
    </row>
    <row r="118" spans="1:24" x14ac:dyDescent="0.25">
      <c r="A118" s="118"/>
      <c r="B118" s="118" t="s">
        <v>111</v>
      </c>
      <c r="C118" s="118"/>
      <c r="D118" s="118"/>
      <c r="E118" s="118"/>
      <c r="F118" s="118"/>
      <c r="G118" s="118"/>
      <c r="H118" s="118"/>
      <c r="K118" s="25">
        <v>20</v>
      </c>
      <c r="L118" s="65">
        <v>5</v>
      </c>
      <c r="M118" s="68">
        <f>'Macro Light'!G6</f>
        <v>1920</v>
      </c>
      <c r="N118" s="67">
        <f t="shared" si="11"/>
        <v>240</v>
      </c>
      <c r="O118" s="67">
        <f t="shared" si="21"/>
        <v>1332</v>
      </c>
      <c r="P118" s="67">
        <f t="shared" si="22"/>
        <v>1909.44</v>
      </c>
      <c r="Q118" s="67">
        <f t="shared" si="23"/>
        <v>0</v>
      </c>
      <c r="R118" s="40">
        <f t="shared" si="12"/>
        <v>1400</v>
      </c>
      <c r="S118" s="25">
        <f t="shared" si="9"/>
        <v>1532</v>
      </c>
      <c r="T118" s="40">
        <f t="shared" si="24"/>
        <v>1</v>
      </c>
      <c r="U118" s="40">
        <f t="shared" si="25"/>
        <v>14</v>
      </c>
      <c r="V118" s="25">
        <f t="shared" si="18"/>
        <v>545412</v>
      </c>
      <c r="W118" s="55">
        <f t="shared" si="19"/>
        <v>18893</v>
      </c>
      <c r="X118" s="40"/>
    </row>
    <row r="119" spans="1:24" x14ac:dyDescent="0.25">
      <c r="B119" s="26"/>
    </row>
    <row r="120" spans="1:24" ht="35.4" customHeight="1" x14ac:dyDescent="0.35">
      <c r="A120" s="24" t="s">
        <v>133</v>
      </c>
      <c r="M120" s="138" t="s">
        <v>148</v>
      </c>
      <c r="N120" s="139"/>
    </row>
    <row r="121" spans="1:24" x14ac:dyDescent="0.25">
      <c r="J121" s="20" t="s">
        <v>147</v>
      </c>
      <c r="K121" s="20" t="s">
        <v>37</v>
      </c>
      <c r="L121" s="20" t="s">
        <v>145</v>
      </c>
      <c r="M121" s="20" t="s">
        <v>130</v>
      </c>
      <c r="N121" s="20" t="s">
        <v>146</v>
      </c>
      <c r="O121" s="20" t="s">
        <v>150</v>
      </c>
    </row>
    <row r="122" spans="1:24" x14ac:dyDescent="0.25">
      <c r="A122" s="44"/>
      <c r="B122" s="44" t="s">
        <v>13</v>
      </c>
      <c r="C122" s="44"/>
      <c r="D122" s="44"/>
      <c r="E122" s="44"/>
      <c r="F122" s="44"/>
      <c r="G122" s="45"/>
      <c r="J122" s="25">
        <v>1</v>
      </c>
      <c r="K122" s="25">
        <v>132</v>
      </c>
      <c r="L122" s="25" t="b">
        <f>FALSE</f>
        <v>0</v>
      </c>
      <c r="M122" s="25" t="b">
        <f>FALSE</f>
        <v>0</v>
      </c>
      <c r="N122" s="55">
        <f>I7</f>
        <v>59023</v>
      </c>
      <c r="O122" s="55">
        <f>N122</f>
        <v>59023</v>
      </c>
    </row>
    <row r="123" spans="1:24" x14ac:dyDescent="0.25">
      <c r="A123" s="44"/>
      <c r="B123" s="44"/>
      <c r="C123" s="44"/>
      <c r="D123" s="46" t="s">
        <v>4</v>
      </c>
      <c r="E123" s="46" t="s">
        <v>5</v>
      </c>
      <c r="F123" s="46" t="s">
        <v>23</v>
      </c>
      <c r="G123" s="46"/>
      <c r="J123" s="25">
        <v>2</v>
      </c>
      <c r="K123" s="25">
        <f t="shared" ref="K123:K160" si="29">IF(ISEVEN(J123),J123*100, K122+132)</f>
        <v>200</v>
      </c>
      <c r="L123" s="25" t="b">
        <f>TRUE</f>
        <v>1</v>
      </c>
      <c r="M123" s="25" t="b">
        <f>FALSE</f>
        <v>0</v>
      </c>
      <c r="N123" s="55">
        <f>I10</f>
        <v>18893</v>
      </c>
      <c r="O123" s="55">
        <f>O122+N123</f>
        <v>77916</v>
      </c>
      <c r="P123"/>
      <c r="Q123"/>
    </row>
    <row r="124" spans="1:24" x14ac:dyDescent="0.25">
      <c r="A124" s="44"/>
      <c r="B124" s="44" t="s">
        <v>16</v>
      </c>
      <c r="C124" s="47" t="s">
        <v>7</v>
      </c>
      <c r="D124" s="76">
        <v>12</v>
      </c>
      <c r="E124" s="48">
        <f>E65</f>
        <v>16</v>
      </c>
      <c r="F124" s="45">
        <f>E124*D124</f>
        <v>192</v>
      </c>
      <c r="G124" s="45"/>
      <c r="J124" s="25">
        <v>3</v>
      </c>
      <c r="K124" s="25">
        <f t="shared" si="29"/>
        <v>332</v>
      </c>
      <c r="L124" s="25" t="b">
        <v>0</v>
      </c>
      <c r="M124" s="25" t="b">
        <f>TRUE</f>
        <v>1</v>
      </c>
      <c r="N124" s="55">
        <f>L124*$I$10+M124*$I$7</f>
        <v>59023</v>
      </c>
      <c r="O124" s="85">
        <f>O123+N124</f>
        <v>136939</v>
      </c>
    </row>
    <row r="125" spans="1:24" x14ac:dyDescent="0.25">
      <c r="A125" s="44"/>
      <c r="B125" s="44" t="s">
        <v>29</v>
      </c>
      <c r="C125" s="47" t="s">
        <v>8</v>
      </c>
      <c r="D125" s="76">
        <v>15</v>
      </c>
      <c r="E125" s="48">
        <f t="shared" ref="E125:E126" si="30">E66</f>
        <v>94</v>
      </c>
      <c r="F125" s="45">
        <f>E125*D125</f>
        <v>1410</v>
      </c>
      <c r="G125" s="45"/>
      <c r="J125" s="25">
        <v>4</v>
      </c>
      <c r="K125" s="25">
        <f t="shared" si="29"/>
        <v>400</v>
      </c>
      <c r="L125" s="25" t="b">
        <f>M124</f>
        <v>1</v>
      </c>
      <c r="M125" s="25" t="b">
        <f>L124</f>
        <v>0</v>
      </c>
      <c r="N125" s="55">
        <f t="shared" ref="N125:N161" si="31">L125*$I$10+M125*$I$7</f>
        <v>18893</v>
      </c>
      <c r="O125" s="85">
        <f t="shared" ref="O125:O161" si="32">O124+N125</f>
        <v>155832</v>
      </c>
    </row>
    <row r="126" spans="1:24" x14ac:dyDescent="0.25">
      <c r="A126" s="44"/>
      <c r="B126" s="44" t="s">
        <v>17</v>
      </c>
      <c r="C126" s="47" t="s">
        <v>92</v>
      </c>
      <c r="D126" s="76">
        <v>22</v>
      </c>
      <c r="E126" s="48">
        <f t="shared" si="30"/>
        <v>16</v>
      </c>
      <c r="F126" s="45">
        <f>E126*D126</f>
        <v>352</v>
      </c>
      <c r="G126" s="45"/>
      <c r="J126" s="25">
        <v>5</v>
      </c>
      <c r="K126" s="25">
        <f t="shared" si="29"/>
        <v>532</v>
      </c>
      <c r="L126" s="25" t="b">
        <f t="shared" ref="L126:L181" si="33">M125</f>
        <v>0</v>
      </c>
      <c r="M126" s="25" t="b">
        <f t="shared" ref="M126:M181" si="34">L125</f>
        <v>1</v>
      </c>
      <c r="N126" s="55">
        <f t="shared" si="31"/>
        <v>59023</v>
      </c>
      <c r="O126" s="85">
        <f t="shared" si="32"/>
        <v>214855</v>
      </c>
    </row>
    <row r="127" spans="1:24" x14ac:dyDescent="0.25">
      <c r="A127" s="44"/>
      <c r="B127" s="44"/>
      <c r="C127" s="47"/>
      <c r="D127" s="45"/>
      <c r="E127" s="48"/>
      <c r="F127" s="45"/>
      <c r="G127" s="45"/>
      <c r="J127" s="25">
        <v>6</v>
      </c>
      <c r="K127" s="25">
        <f t="shared" si="29"/>
        <v>600</v>
      </c>
      <c r="L127" s="25" t="b">
        <f t="shared" si="33"/>
        <v>1</v>
      </c>
      <c r="M127" s="25" t="b">
        <f t="shared" si="34"/>
        <v>0</v>
      </c>
      <c r="N127" s="55">
        <f t="shared" si="31"/>
        <v>18893</v>
      </c>
      <c r="O127" s="85">
        <f t="shared" si="32"/>
        <v>233748</v>
      </c>
    </row>
    <row r="128" spans="1:24" x14ac:dyDescent="0.25">
      <c r="A128" s="44"/>
      <c r="B128" s="44" t="s">
        <v>12</v>
      </c>
      <c r="C128" s="44"/>
      <c r="D128" s="45"/>
      <c r="E128" s="48"/>
      <c r="F128" s="45"/>
      <c r="G128" s="45"/>
      <c r="J128" s="25">
        <v>7</v>
      </c>
      <c r="K128" s="25">
        <f t="shared" si="29"/>
        <v>732</v>
      </c>
      <c r="L128" s="25" t="b">
        <f t="shared" si="33"/>
        <v>0</v>
      </c>
      <c r="M128" s="25" t="b">
        <f t="shared" si="34"/>
        <v>1</v>
      </c>
      <c r="N128" s="55">
        <f t="shared" si="31"/>
        <v>59023</v>
      </c>
      <c r="O128" s="85">
        <f t="shared" si="32"/>
        <v>292771</v>
      </c>
    </row>
    <row r="129" spans="1:15" ht="14" x14ac:dyDescent="0.25">
      <c r="A129" s="44"/>
      <c r="B129" s="44" t="s">
        <v>18</v>
      </c>
      <c r="C129" s="47" t="s">
        <v>94</v>
      </c>
      <c r="D129" s="76">
        <v>39</v>
      </c>
      <c r="E129" s="52">
        <f>E70</f>
        <v>6</v>
      </c>
      <c r="F129" s="53">
        <f>E129*D129</f>
        <v>234</v>
      </c>
      <c r="G129" s="54"/>
      <c r="J129" s="25">
        <v>8</v>
      </c>
      <c r="K129" s="25">
        <f t="shared" si="29"/>
        <v>800</v>
      </c>
      <c r="L129" s="25" t="b">
        <f t="shared" si="33"/>
        <v>1</v>
      </c>
      <c r="M129" s="25" t="b">
        <f t="shared" si="34"/>
        <v>0</v>
      </c>
      <c r="N129" s="55">
        <f t="shared" si="31"/>
        <v>18893</v>
      </c>
      <c r="O129" s="85">
        <f t="shared" si="32"/>
        <v>311664</v>
      </c>
    </row>
    <row r="130" spans="1:15" x14ac:dyDescent="0.25">
      <c r="A130" s="44"/>
      <c r="B130" s="44"/>
      <c r="C130" s="47"/>
      <c r="D130" s="44"/>
      <c r="E130" s="64">
        <f>SUM(E124:E129)</f>
        <v>132</v>
      </c>
      <c r="F130" s="57">
        <f>SUM(F124:F129)</f>
        <v>2188</v>
      </c>
      <c r="G130" s="57"/>
      <c r="J130" s="25">
        <v>9</v>
      </c>
      <c r="K130" s="25">
        <f t="shared" si="29"/>
        <v>932</v>
      </c>
      <c r="L130" s="25" t="b">
        <f t="shared" si="33"/>
        <v>0</v>
      </c>
      <c r="M130" s="25" t="b">
        <f t="shared" si="34"/>
        <v>1</v>
      </c>
      <c r="N130" s="55">
        <f t="shared" si="31"/>
        <v>59023</v>
      </c>
      <c r="O130" s="85">
        <f t="shared" si="32"/>
        <v>370687</v>
      </c>
    </row>
    <row r="131" spans="1:15" x14ac:dyDescent="0.25">
      <c r="A131" s="44"/>
      <c r="G131" s="57"/>
      <c r="J131" s="25">
        <v>10</v>
      </c>
      <c r="K131" s="25">
        <f t="shared" si="29"/>
        <v>1000</v>
      </c>
      <c r="L131" s="25" t="b">
        <f t="shared" si="33"/>
        <v>1</v>
      </c>
      <c r="M131" s="25" t="b">
        <f t="shared" si="34"/>
        <v>0</v>
      </c>
      <c r="N131" s="55">
        <f t="shared" si="31"/>
        <v>18893</v>
      </c>
      <c r="O131" s="85">
        <f t="shared" si="32"/>
        <v>389580</v>
      </c>
    </row>
    <row r="132" spans="1:15" x14ac:dyDescent="0.25">
      <c r="A132" s="44"/>
      <c r="B132" s="26" t="s">
        <v>74</v>
      </c>
      <c r="G132" s="57"/>
      <c r="J132" s="25">
        <v>11</v>
      </c>
      <c r="K132" s="25">
        <f t="shared" si="29"/>
        <v>1132</v>
      </c>
      <c r="L132" s="25" t="b">
        <f t="shared" si="33"/>
        <v>0</v>
      </c>
      <c r="M132" s="25" t="b">
        <f t="shared" si="34"/>
        <v>1</v>
      </c>
      <c r="N132" s="55">
        <f t="shared" si="31"/>
        <v>59023</v>
      </c>
      <c r="O132" s="85">
        <f t="shared" si="32"/>
        <v>448603</v>
      </c>
    </row>
    <row r="133" spans="1:15" x14ac:dyDescent="0.25">
      <c r="A133" s="44"/>
      <c r="G133" s="57"/>
      <c r="J133" s="25">
        <v>12</v>
      </c>
      <c r="K133" s="25">
        <f t="shared" si="29"/>
        <v>1200</v>
      </c>
      <c r="L133" s="25" t="b">
        <f t="shared" si="33"/>
        <v>1</v>
      </c>
      <c r="M133" s="25" t="b">
        <f t="shared" si="34"/>
        <v>0</v>
      </c>
      <c r="N133" s="55">
        <f t="shared" si="31"/>
        <v>18893</v>
      </c>
      <c r="O133" s="85">
        <f t="shared" si="32"/>
        <v>467496</v>
      </c>
    </row>
    <row r="134" spans="1:15" x14ac:dyDescent="0.25">
      <c r="B134" s="44" t="s">
        <v>13</v>
      </c>
      <c r="J134" s="25">
        <v>13</v>
      </c>
      <c r="K134" s="25">
        <f t="shared" si="29"/>
        <v>1332</v>
      </c>
      <c r="L134" s="25" t="b">
        <f t="shared" si="33"/>
        <v>0</v>
      </c>
      <c r="M134" s="25" t="b">
        <f t="shared" si="34"/>
        <v>1</v>
      </c>
      <c r="N134" s="55">
        <f t="shared" si="31"/>
        <v>59023</v>
      </c>
      <c r="O134" s="85">
        <f t="shared" si="32"/>
        <v>526519</v>
      </c>
    </row>
    <row r="135" spans="1:15" x14ac:dyDescent="0.25">
      <c r="B135" s="44"/>
      <c r="J135" s="25">
        <v>14</v>
      </c>
      <c r="K135" s="25">
        <f t="shared" si="29"/>
        <v>1400</v>
      </c>
      <c r="L135" s="25" t="b">
        <f t="shared" si="33"/>
        <v>1</v>
      </c>
      <c r="M135" s="25" t="b">
        <f t="shared" si="34"/>
        <v>0</v>
      </c>
      <c r="N135" s="55">
        <f t="shared" si="31"/>
        <v>18893</v>
      </c>
      <c r="O135" s="85">
        <f t="shared" si="32"/>
        <v>545412</v>
      </c>
    </row>
    <row r="136" spans="1:15" x14ac:dyDescent="0.25">
      <c r="B136" s="44" t="s">
        <v>16</v>
      </c>
      <c r="D136" s="61">
        <v>1</v>
      </c>
      <c r="E136" s="56">
        <f>E75</f>
        <v>8</v>
      </c>
      <c r="F136" s="61">
        <f>E136*D136</f>
        <v>8</v>
      </c>
      <c r="J136" s="25">
        <v>15</v>
      </c>
      <c r="K136" s="25">
        <f t="shared" si="29"/>
        <v>1532</v>
      </c>
      <c r="L136" s="25" t="b">
        <f t="shared" si="33"/>
        <v>0</v>
      </c>
      <c r="M136" s="25" t="b">
        <f t="shared" si="34"/>
        <v>1</v>
      </c>
      <c r="N136" s="55">
        <f t="shared" si="31"/>
        <v>59023</v>
      </c>
      <c r="O136" s="85">
        <f t="shared" si="32"/>
        <v>604435</v>
      </c>
    </row>
    <row r="137" spans="1:15" x14ac:dyDescent="0.25">
      <c r="B137" s="44" t="s">
        <v>29</v>
      </c>
      <c r="D137" s="61">
        <v>1</v>
      </c>
      <c r="E137" s="56">
        <f t="shared" ref="E137:E138" si="35">E76</f>
        <v>47</v>
      </c>
      <c r="F137" s="61">
        <f>E137*D137</f>
        <v>47</v>
      </c>
      <c r="J137" s="25">
        <v>16</v>
      </c>
      <c r="K137" s="25">
        <f t="shared" si="29"/>
        <v>1600</v>
      </c>
      <c r="L137" s="25" t="b">
        <f t="shared" si="33"/>
        <v>1</v>
      </c>
      <c r="M137" s="25" t="b">
        <f t="shared" si="34"/>
        <v>0</v>
      </c>
      <c r="N137" s="55">
        <f t="shared" si="31"/>
        <v>18893</v>
      </c>
      <c r="O137" s="85">
        <f t="shared" si="32"/>
        <v>623328</v>
      </c>
    </row>
    <row r="138" spans="1:15" x14ac:dyDescent="0.25">
      <c r="B138" s="44" t="s">
        <v>17</v>
      </c>
      <c r="D138" s="61">
        <v>1</v>
      </c>
      <c r="E138" s="56">
        <f t="shared" si="35"/>
        <v>8</v>
      </c>
      <c r="F138" s="61">
        <f>E138*D138</f>
        <v>8</v>
      </c>
      <c r="J138" s="25">
        <v>17</v>
      </c>
      <c r="K138" s="25">
        <f t="shared" si="29"/>
        <v>1732</v>
      </c>
      <c r="L138" s="25" t="b">
        <f t="shared" si="33"/>
        <v>0</v>
      </c>
      <c r="M138" s="25" t="b">
        <f t="shared" si="34"/>
        <v>1</v>
      </c>
      <c r="N138" s="55">
        <f t="shared" si="31"/>
        <v>59023</v>
      </c>
      <c r="O138" s="85">
        <f t="shared" si="32"/>
        <v>682351</v>
      </c>
    </row>
    <row r="139" spans="1:15" x14ac:dyDescent="0.25">
      <c r="B139" s="44"/>
      <c r="D139" s="61"/>
      <c r="F139" s="61"/>
      <c r="J139" s="25">
        <v>18</v>
      </c>
      <c r="K139" s="25">
        <f t="shared" si="29"/>
        <v>1800</v>
      </c>
      <c r="L139" s="25" t="b">
        <f t="shared" si="33"/>
        <v>1</v>
      </c>
      <c r="M139" s="25" t="b">
        <f t="shared" si="34"/>
        <v>0</v>
      </c>
      <c r="N139" s="55">
        <f t="shared" si="31"/>
        <v>18893</v>
      </c>
      <c r="O139" s="85">
        <f t="shared" si="32"/>
        <v>701244</v>
      </c>
    </row>
    <row r="140" spans="1:15" x14ac:dyDescent="0.25">
      <c r="B140" s="44" t="s">
        <v>12</v>
      </c>
      <c r="D140" s="61"/>
      <c r="F140" s="61"/>
      <c r="J140" s="25">
        <v>19</v>
      </c>
      <c r="K140" s="25">
        <f t="shared" si="29"/>
        <v>1932</v>
      </c>
      <c r="L140" s="25" t="b">
        <f t="shared" si="33"/>
        <v>0</v>
      </c>
      <c r="M140" s="25" t="b">
        <f t="shared" si="34"/>
        <v>1</v>
      </c>
      <c r="N140" s="55">
        <f t="shared" si="31"/>
        <v>59023</v>
      </c>
      <c r="O140" s="85">
        <f t="shared" si="32"/>
        <v>760267</v>
      </c>
    </row>
    <row r="141" spans="1:15" x14ac:dyDescent="0.25">
      <c r="B141" s="44" t="s">
        <v>18</v>
      </c>
      <c r="D141" s="61">
        <v>1</v>
      </c>
      <c r="E141" s="56">
        <f>E81</f>
        <v>0</v>
      </c>
      <c r="F141" s="62">
        <f>E141*D141</f>
        <v>0</v>
      </c>
      <c r="J141" s="25">
        <v>20</v>
      </c>
      <c r="K141" s="25">
        <f t="shared" si="29"/>
        <v>2000</v>
      </c>
      <c r="L141" s="25" t="b">
        <f t="shared" si="33"/>
        <v>1</v>
      </c>
      <c r="M141" s="25" t="b">
        <f t="shared" si="34"/>
        <v>0</v>
      </c>
      <c r="N141" s="55">
        <f t="shared" si="31"/>
        <v>18893</v>
      </c>
      <c r="O141" s="85">
        <f t="shared" si="32"/>
        <v>779160</v>
      </c>
    </row>
    <row r="142" spans="1:15" x14ac:dyDescent="0.25">
      <c r="F142" s="61">
        <f>SUM(F136:F141)</f>
        <v>63</v>
      </c>
      <c r="J142" s="25">
        <v>21</v>
      </c>
      <c r="K142" s="25">
        <f t="shared" si="29"/>
        <v>2132</v>
      </c>
      <c r="L142" s="25" t="b">
        <f t="shared" si="33"/>
        <v>0</v>
      </c>
      <c r="M142" s="25" t="b">
        <f t="shared" si="34"/>
        <v>1</v>
      </c>
      <c r="N142" s="55">
        <f t="shared" si="31"/>
        <v>59023</v>
      </c>
      <c r="O142" s="85">
        <f t="shared" si="32"/>
        <v>838183</v>
      </c>
    </row>
    <row r="143" spans="1:15" x14ac:dyDescent="0.25">
      <c r="E143" s="25">
        <v>200</v>
      </c>
      <c r="F143" s="57">
        <f>F130+F142</f>
        <v>2251</v>
      </c>
      <c r="J143" s="25">
        <v>22</v>
      </c>
      <c r="K143" s="25">
        <f t="shared" si="29"/>
        <v>2200</v>
      </c>
      <c r="L143" s="25" t="b">
        <f t="shared" si="33"/>
        <v>1</v>
      </c>
      <c r="M143" s="25" t="b">
        <f t="shared" si="34"/>
        <v>0</v>
      </c>
      <c r="N143" s="55">
        <f t="shared" si="31"/>
        <v>18893</v>
      </c>
      <c r="O143" s="85">
        <f t="shared" si="32"/>
        <v>857076</v>
      </c>
    </row>
    <row r="144" spans="1:15" ht="14" x14ac:dyDescent="0.25">
      <c r="B144" s="69" t="s">
        <v>110</v>
      </c>
      <c r="C144" s="47"/>
      <c r="D144" s="44"/>
      <c r="E144" s="57">
        <f>F143/E130</f>
        <v>17.053030303030305</v>
      </c>
      <c r="F144" s="70"/>
      <c r="J144" s="25">
        <v>23</v>
      </c>
      <c r="K144" s="25">
        <f t="shared" si="29"/>
        <v>2332</v>
      </c>
      <c r="L144" s="25" t="b">
        <f t="shared" si="33"/>
        <v>0</v>
      </c>
      <c r="M144" s="25" t="b">
        <f t="shared" si="34"/>
        <v>1</v>
      </c>
      <c r="N144" s="55">
        <f t="shared" si="31"/>
        <v>59023</v>
      </c>
      <c r="O144" s="85">
        <f t="shared" si="32"/>
        <v>916099</v>
      </c>
    </row>
    <row r="145" spans="1:15" x14ac:dyDescent="0.25">
      <c r="B145" s="44"/>
      <c r="C145" s="47"/>
      <c r="D145" s="44"/>
      <c r="E145" s="44"/>
      <c r="F145" s="57"/>
      <c r="J145" s="25">
        <v>24</v>
      </c>
      <c r="K145" s="25">
        <f t="shared" si="29"/>
        <v>2400</v>
      </c>
      <c r="L145" s="25" t="b">
        <f t="shared" si="33"/>
        <v>1</v>
      </c>
      <c r="M145" s="25" t="b">
        <f t="shared" si="34"/>
        <v>0</v>
      </c>
      <c r="N145" s="55">
        <f t="shared" si="31"/>
        <v>18893</v>
      </c>
      <c r="O145" s="85">
        <f t="shared" si="32"/>
        <v>934992</v>
      </c>
    </row>
    <row r="146" spans="1:15" x14ac:dyDescent="0.25">
      <c r="B146" s="26" t="s">
        <v>111</v>
      </c>
      <c r="J146" s="25">
        <v>25</v>
      </c>
      <c r="K146" s="25">
        <f t="shared" si="29"/>
        <v>2532</v>
      </c>
      <c r="L146" s="25" t="b">
        <f t="shared" si="33"/>
        <v>0</v>
      </c>
      <c r="M146" s="25" t="b">
        <f t="shared" si="34"/>
        <v>1</v>
      </c>
      <c r="N146" s="55">
        <f t="shared" si="31"/>
        <v>59023</v>
      </c>
      <c r="O146" s="85">
        <f t="shared" si="32"/>
        <v>994015</v>
      </c>
    </row>
    <row r="147" spans="1:15" x14ac:dyDescent="0.25">
      <c r="B147" s="26"/>
      <c r="J147" s="25">
        <v>26</v>
      </c>
      <c r="K147" s="25">
        <f t="shared" si="29"/>
        <v>2600</v>
      </c>
      <c r="L147" s="25" t="b">
        <f t="shared" si="33"/>
        <v>1</v>
      </c>
      <c r="M147" s="25" t="b">
        <f t="shared" si="34"/>
        <v>0</v>
      </c>
      <c r="N147" s="55">
        <f t="shared" si="31"/>
        <v>18893</v>
      </c>
      <c r="O147" s="85">
        <f t="shared" si="32"/>
        <v>1012908</v>
      </c>
    </row>
    <row r="148" spans="1:15" x14ac:dyDescent="0.25">
      <c r="J148" s="25">
        <v>27</v>
      </c>
      <c r="K148" s="25">
        <f t="shared" si="29"/>
        <v>2732</v>
      </c>
      <c r="L148" s="25" t="b">
        <f t="shared" si="33"/>
        <v>0</v>
      </c>
      <c r="M148" s="25" t="b">
        <f t="shared" si="34"/>
        <v>1</v>
      </c>
      <c r="N148" s="55">
        <f t="shared" si="31"/>
        <v>59023</v>
      </c>
      <c r="O148" s="85">
        <f t="shared" si="32"/>
        <v>1071931</v>
      </c>
    </row>
    <row r="149" spans="1:15" x14ac:dyDescent="0.25">
      <c r="J149" s="25">
        <v>28</v>
      </c>
      <c r="K149" s="25">
        <f t="shared" si="29"/>
        <v>2800</v>
      </c>
      <c r="L149" s="25" t="b">
        <f t="shared" si="33"/>
        <v>1</v>
      </c>
      <c r="M149" s="25" t="b">
        <f t="shared" si="34"/>
        <v>0</v>
      </c>
      <c r="N149" s="55">
        <f t="shared" si="31"/>
        <v>18893</v>
      </c>
      <c r="O149" s="85">
        <f t="shared" si="32"/>
        <v>1090824</v>
      </c>
    </row>
    <row r="150" spans="1:15" ht="15.5" x14ac:dyDescent="0.25">
      <c r="A150" s="71" t="s">
        <v>126</v>
      </c>
      <c r="B150" s="72"/>
      <c r="C150" s="72"/>
      <c r="D150" s="72"/>
      <c r="E150" s="72"/>
      <c r="F150" s="72"/>
      <c r="G150" s="72"/>
      <c r="H150" s="72"/>
      <c r="J150" s="25">
        <v>29</v>
      </c>
      <c r="K150" s="25">
        <f t="shared" si="29"/>
        <v>2932</v>
      </c>
      <c r="L150" s="25" t="b">
        <f t="shared" si="33"/>
        <v>0</v>
      </c>
      <c r="M150" s="25" t="b">
        <f t="shared" si="34"/>
        <v>1</v>
      </c>
      <c r="N150" s="55">
        <f t="shared" si="31"/>
        <v>59023</v>
      </c>
      <c r="O150" s="85">
        <f t="shared" si="32"/>
        <v>1149847</v>
      </c>
    </row>
    <row r="151" spans="1:15" x14ac:dyDescent="0.25">
      <c r="A151" s="72"/>
      <c r="B151" s="72"/>
      <c r="C151" s="72"/>
      <c r="D151" s="72"/>
      <c r="E151" s="72"/>
      <c r="F151" s="46"/>
      <c r="G151" s="46"/>
      <c r="H151" s="72"/>
      <c r="J151" s="25">
        <v>30</v>
      </c>
      <c r="K151" s="25">
        <f t="shared" si="29"/>
        <v>3000</v>
      </c>
      <c r="L151" s="25" t="b">
        <f t="shared" si="33"/>
        <v>1</v>
      </c>
      <c r="M151" s="25" t="b">
        <f t="shared" si="34"/>
        <v>0</v>
      </c>
      <c r="N151" s="55">
        <f t="shared" si="31"/>
        <v>18893</v>
      </c>
      <c r="O151" s="85">
        <f t="shared" si="32"/>
        <v>1168740</v>
      </c>
    </row>
    <row r="152" spans="1:15" x14ac:dyDescent="0.25">
      <c r="A152" s="72"/>
      <c r="B152" s="25" t="s">
        <v>13</v>
      </c>
      <c r="H152" s="72"/>
      <c r="J152" s="25">
        <v>31</v>
      </c>
      <c r="K152" s="25">
        <f t="shared" si="29"/>
        <v>3132</v>
      </c>
      <c r="L152" s="25" t="b">
        <f t="shared" si="33"/>
        <v>0</v>
      </c>
      <c r="M152" s="25" t="b">
        <f t="shared" si="34"/>
        <v>1</v>
      </c>
      <c r="N152" s="55">
        <f t="shared" si="31"/>
        <v>59023</v>
      </c>
      <c r="O152" s="85">
        <f t="shared" si="32"/>
        <v>1227763</v>
      </c>
    </row>
    <row r="153" spans="1:15" x14ac:dyDescent="0.25">
      <c r="A153" s="72"/>
      <c r="D153" s="25" t="s">
        <v>88</v>
      </c>
      <c r="E153" s="25" t="s">
        <v>5</v>
      </c>
      <c r="F153" s="25" t="s">
        <v>89</v>
      </c>
      <c r="H153" s="72"/>
      <c r="J153" s="25">
        <v>32</v>
      </c>
      <c r="K153" s="25">
        <f t="shared" si="29"/>
        <v>3200</v>
      </c>
      <c r="L153" s="25" t="b">
        <f t="shared" si="33"/>
        <v>1</v>
      </c>
      <c r="M153" s="25" t="b">
        <f t="shared" si="34"/>
        <v>0</v>
      </c>
      <c r="N153" s="55">
        <f t="shared" si="31"/>
        <v>18893</v>
      </c>
      <c r="O153" s="85">
        <f t="shared" si="32"/>
        <v>1246656</v>
      </c>
    </row>
    <row r="154" spans="1:15" x14ac:dyDescent="0.25">
      <c r="A154" s="72"/>
      <c r="B154" s="26" t="s">
        <v>113</v>
      </c>
      <c r="C154" s="25" t="s">
        <v>7</v>
      </c>
      <c r="D154" s="78">
        <v>281</v>
      </c>
      <c r="E154" s="56">
        <f>E38</f>
        <v>0</v>
      </c>
      <c r="F154" s="66">
        <f>D154*E154</f>
        <v>0</v>
      </c>
      <c r="H154" s="72"/>
      <c r="J154" s="25">
        <v>33</v>
      </c>
      <c r="K154" s="25">
        <f t="shared" si="29"/>
        <v>3332</v>
      </c>
      <c r="L154" s="25" t="b">
        <f t="shared" si="33"/>
        <v>0</v>
      </c>
      <c r="M154" s="25" t="b">
        <f t="shared" si="34"/>
        <v>1</v>
      </c>
      <c r="N154" s="55">
        <f t="shared" si="31"/>
        <v>59023</v>
      </c>
      <c r="O154" s="85">
        <f t="shared" si="32"/>
        <v>1305679</v>
      </c>
    </row>
    <row r="155" spans="1:15" x14ac:dyDescent="0.25">
      <c r="A155" s="72"/>
      <c r="B155" s="20" t="s">
        <v>127</v>
      </c>
      <c r="C155" s="25" t="s">
        <v>8</v>
      </c>
      <c r="D155" s="78">
        <v>325</v>
      </c>
      <c r="E155" s="56">
        <f>E39</f>
        <v>0</v>
      </c>
      <c r="F155" s="66">
        <f>D155*E155</f>
        <v>0</v>
      </c>
      <c r="H155" s="72"/>
      <c r="J155" s="25">
        <v>34</v>
      </c>
      <c r="K155" s="25">
        <f t="shared" si="29"/>
        <v>3400</v>
      </c>
      <c r="L155" s="25" t="b">
        <f t="shared" si="33"/>
        <v>1</v>
      </c>
      <c r="M155" s="25" t="b">
        <f t="shared" si="34"/>
        <v>0</v>
      </c>
      <c r="N155" s="55">
        <f t="shared" si="31"/>
        <v>18893</v>
      </c>
      <c r="O155" s="85">
        <f t="shared" si="32"/>
        <v>1324572</v>
      </c>
    </row>
    <row r="156" spans="1:15" x14ac:dyDescent="0.25">
      <c r="A156" s="72"/>
      <c r="B156" s="26" t="s">
        <v>115</v>
      </c>
      <c r="C156" s="26" t="s">
        <v>108</v>
      </c>
      <c r="D156" s="78">
        <v>369</v>
      </c>
      <c r="E156" s="56">
        <f>E40</f>
        <v>0</v>
      </c>
      <c r="F156" s="66">
        <f>D156*E156</f>
        <v>0</v>
      </c>
      <c r="H156" s="73"/>
      <c r="J156" s="25">
        <v>35</v>
      </c>
      <c r="K156" s="25">
        <f t="shared" si="29"/>
        <v>3532</v>
      </c>
      <c r="L156" s="25" t="b">
        <f t="shared" si="33"/>
        <v>0</v>
      </c>
      <c r="M156" s="25" t="b">
        <f t="shared" si="34"/>
        <v>1</v>
      </c>
      <c r="N156" s="55">
        <f t="shared" si="31"/>
        <v>59023</v>
      </c>
      <c r="O156" s="85">
        <f t="shared" si="32"/>
        <v>1383595</v>
      </c>
    </row>
    <row r="157" spans="1:15" x14ac:dyDescent="0.25">
      <c r="B157" s="26" t="s">
        <v>112</v>
      </c>
      <c r="C157" s="26" t="s">
        <v>108</v>
      </c>
      <c r="D157" s="78">
        <v>413</v>
      </c>
      <c r="E157" s="56">
        <f>E41</f>
        <v>0</v>
      </c>
      <c r="F157" s="25">
        <f>E157*D157</f>
        <v>0</v>
      </c>
      <c r="J157" s="25">
        <v>36</v>
      </c>
      <c r="K157" s="25">
        <f t="shared" si="29"/>
        <v>3600</v>
      </c>
      <c r="L157" s="25" t="b">
        <f t="shared" si="33"/>
        <v>1</v>
      </c>
      <c r="M157" s="25" t="b">
        <f t="shared" si="34"/>
        <v>0</v>
      </c>
      <c r="N157" s="55">
        <f t="shared" si="31"/>
        <v>18893</v>
      </c>
      <c r="O157" s="85">
        <f t="shared" si="32"/>
        <v>1402488</v>
      </c>
    </row>
    <row r="158" spans="1:15" x14ac:dyDescent="0.25">
      <c r="A158" s="72"/>
      <c r="D158" s="61"/>
      <c r="E158" s="56">
        <f>E42</f>
        <v>0</v>
      </c>
      <c r="H158" s="73"/>
      <c r="J158" s="25">
        <v>37</v>
      </c>
      <c r="K158" s="25">
        <f t="shared" si="29"/>
        <v>3732</v>
      </c>
      <c r="L158" s="25" t="b">
        <f t="shared" si="33"/>
        <v>0</v>
      </c>
      <c r="M158" s="25" t="b">
        <f t="shared" si="34"/>
        <v>1</v>
      </c>
      <c r="N158" s="55">
        <f t="shared" si="31"/>
        <v>59023</v>
      </c>
      <c r="O158" s="85">
        <f t="shared" si="32"/>
        <v>1461511</v>
      </c>
    </row>
    <row r="159" spans="1:15" x14ac:dyDescent="0.25">
      <c r="A159" s="72"/>
      <c r="B159" s="25" t="s">
        <v>12</v>
      </c>
      <c r="D159" s="61"/>
      <c r="H159" s="73"/>
      <c r="J159" s="25">
        <v>38</v>
      </c>
      <c r="K159" s="25">
        <f t="shared" si="29"/>
        <v>3800</v>
      </c>
      <c r="L159" s="25" t="b">
        <f t="shared" si="33"/>
        <v>1</v>
      </c>
      <c r="M159" s="25" t="b">
        <f t="shared" si="34"/>
        <v>0</v>
      </c>
      <c r="N159" s="55">
        <f t="shared" si="31"/>
        <v>18893</v>
      </c>
      <c r="O159" s="85">
        <f t="shared" si="32"/>
        <v>1480404</v>
      </c>
    </row>
    <row r="160" spans="1:15" x14ac:dyDescent="0.25">
      <c r="A160" s="72"/>
      <c r="B160" s="26" t="s">
        <v>109</v>
      </c>
      <c r="C160" s="25" t="s">
        <v>94</v>
      </c>
      <c r="D160" s="78">
        <v>413</v>
      </c>
      <c r="E160" s="56">
        <f>E43</f>
        <v>40</v>
      </c>
      <c r="F160" s="66">
        <f>D160*E160</f>
        <v>16520</v>
      </c>
      <c r="H160" s="72"/>
      <c r="J160" s="25">
        <v>39</v>
      </c>
      <c r="K160" s="25">
        <f t="shared" si="29"/>
        <v>3932</v>
      </c>
      <c r="L160" s="25" t="b">
        <f t="shared" si="33"/>
        <v>0</v>
      </c>
      <c r="M160" s="25" t="b">
        <f t="shared" si="34"/>
        <v>1</v>
      </c>
      <c r="N160" s="55">
        <f t="shared" si="31"/>
        <v>59023</v>
      </c>
      <c r="O160" s="85">
        <f t="shared" si="32"/>
        <v>1539427</v>
      </c>
    </row>
    <row r="161" spans="1:15" x14ac:dyDescent="0.25">
      <c r="A161" s="72"/>
      <c r="D161" s="61"/>
      <c r="E161" s="66">
        <f>SUM(E154+E155+E156+E160+E157)</f>
        <v>40</v>
      </c>
      <c r="F161" s="66"/>
      <c r="H161" s="72"/>
      <c r="J161" s="20">
        <v>40</v>
      </c>
      <c r="K161" s="25">
        <v>4000</v>
      </c>
      <c r="L161" s="25" t="b">
        <f t="shared" si="33"/>
        <v>1</v>
      </c>
      <c r="M161" s="25" t="b">
        <f t="shared" si="34"/>
        <v>0</v>
      </c>
      <c r="N161" s="55">
        <f t="shared" si="31"/>
        <v>18893</v>
      </c>
      <c r="O161" s="85">
        <f t="shared" si="32"/>
        <v>1558320</v>
      </c>
    </row>
    <row r="162" spans="1:15" x14ac:dyDescent="0.25">
      <c r="B162" s="72" t="s">
        <v>20</v>
      </c>
      <c r="C162" s="72"/>
      <c r="D162" s="61"/>
      <c r="G162" s="58">
        <v>0.75</v>
      </c>
      <c r="J162" s="20">
        <v>41</v>
      </c>
      <c r="K162" s="25">
        <v>4000</v>
      </c>
      <c r="L162" s="25" t="b">
        <f t="shared" si="33"/>
        <v>0</v>
      </c>
      <c r="M162" s="25" t="b">
        <f t="shared" si="34"/>
        <v>1</v>
      </c>
      <c r="N162" s="55">
        <f t="shared" ref="N162:N181" si="36">L162*$I$10+M162*$I$7</f>
        <v>59023</v>
      </c>
      <c r="O162" s="85">
        <f t="shared" ref="O162:O181" si="37">O161+N162</f>
        <v>1617343</v>
      </c>
    </row>
    <row r="163" spans="1:15" x14ac:dyDescent="0.25">
      <c r="B163" s="72" t="s">
        <v>21</v>
      </c>
      <c r="C163" s="72"/>
      <c r="D163" s="61">
        <v>76</v>
      </c>
      <c r="E163" s="67">
        <v>50</v>
      </c>
      <c r="F163" s="67">
        <f>E163*D163</f>
        <v>3800</v>
      </c>
      <c r="G163" s="58">
        <f>1-G162</f>
        <v>0.25</v>
      </c>
      <c r="J163" s="20">
        <v>42</v>
      </c>
      <c r="K163" s="25">
        <v>4000</v>
      </c>
      <c r="L163" s="25" t="b">
        <f t="shared" si="33"/>
        <v>1</v>
      </c>
      <c r="M163" s="25" t="b">
        <f t="shared" si="34"/>
        <v>0</v>
      </c>
      <c r="N163" s="55">
        <f t="shared" si="36"/>
        <v>18893</v>
      </c>
      <c r="O163" s="85">
        <f t="shared" si="37"/>
        <v>1636236</v>
      </c>
    </row>
    <row r="164" spans="1:15" x14ac:dyDescent="0.25">
      <c r="B164" s="26" t="s">
        <v>10</v>
      </c>
      <c r="D164" s="61">
        <v>16</v>
      </c>
      <c r="E164" s="67">
        <f>G164*E161</f>
        <v>40</v>
      </c>
      <c r="F164" s="67">
        <f>E164*D164</f>
        <v>640</v>
      </c>
      <c r="G164" s="58">
        <f>G162+G163</f>
        <v>1</v>
      </c>
      <c r="J164" s="20">
        <v>43</v>
      </c>
      <c r="K164" s="25">
        <v>4000</v>
      </c>
      <c r="L164" s="25" t="b">
        <f t="shared" si="33"/>
        <v>0</v>
      </c>
      <c r="M164" s="25" t="b">
        <f t="shared" si="34"/>
        <v>1</v>
      </c>
      <c r="N164" s="55">
        <f t="shared" si="36"/>
        <v>59023</v>
      </c>
      <c r="O164" s="85">
        <f t="shared" si="37"/>
        <v>1695259</v>
      </c>
    </row>
    <row r="165" spans="1:15" x14ac:dyDescent="0.25">
      <c r="C165" s="72" t="s">
        <v>22</v>
      </c>
      <c r="F165" s="67">
        <f>F154+F155+F156+F160+F163+F164+F157</f>
        <v>20960</v>
      </c>
      <c r="J165" s="20">
        <v>44</v>
      </c>
      <c r="K165" s="25">
        <v>4000</v>
      </c>
      <c r="L165" s="25" t="b">
        <f t="shared" si="33"/>
        <v>1</v>
      </c>
      <c r="M165" s="25" t="b">
        <f t="shared" si="34"/>
        <v>0</v>
      </c>
      <c r="N165" s="55">
        <f t="shared" si="36"/>
        <v>18893</v>
      </c>
      <c r="O165" s="85">
        <f t="shared" si="37"/>
        <v>1714152</v>
      </c>
    </row>
    <row r="166" spans="1:15" x14ac:dyDescent="0.25">
      <c r="C166" s="72" t="s">
        <v>35</v>
      </c>
      <c r="F166" s="61">
        <f>F165/E161</f>
        <v>524</v>
      </c>
      <c r="J166" s="20">
        <v>45</v>
      </c>
      <c r="K166" s="25">
        <v>4000</v>
      </c>
      <c r="L166" s="25" t="b">
        <f t="shared" si="33"/>
        <v>0</v>
      </c>
      <c r="M166" s="25" t="b">
        <f t="shared" si="34"/>
        <v>1</v>
      </c>
      <c r="N166" s="55">
        <f t="shared" si="36"/>
        <v>59023</v>
      </c>
      <c r="O166" s="85">
        <f t="shared" si="37"/>
        <v>1773175</v>
      </c>
    </row>
    <row r="167" spans="1:15" x14ac:dyDescent="0.25">
      <c r="C167" s="25" t="s">
        <v>36</v>
      </c>
      <c r="F167" s="61">
        <f>F166</f>
        <v>524</v>
      </c>
      <c r="J167" s="20">
        <v>46</v>
      </c>
      <c r="K167" s="25">
        <v>4000</v>
      </c>
      <c r="L167" s="25" t="b">
        <f t="shared" si="33"/>
        <v>1</v>
      </c>
      <c r="M167" s="25" t="b">
        <f t="shared" si="34"/>
        <v>0</v>
      </c>
      <c r="N167" s="55">
        <f t="shared" si="36"/>
        <v>18893</v>
      </c>
      <c r="O167" s="85">
        <f t="shared" si="37"/>
        <v>1792068</v>
      </c>
    </row>
    <row r="168" spans="1:15" x14ac:dyDescent="0.25">
      <c r="J168" s="20">
        <v>47</v>
      </c>
      <c r="K168" s="25">
        <v>4000</v>
      </c>
      <c r="L168" s="25" t="b">
        <f t="shared" si="33"/>
        <v>0</v>
      </c>
      <c r="M168" s="25" t="b">
        <f t="shared" si="34"/>
        <v>1</v>
      </c>
      <c r="N168" s="55">
        <f t="shared" si="36"/>
        <v>59023</v>
      </c>
      <c r="O168" s="85">
        <f t="shared" si="37"/>
        <v>1851091</v>
      </c>
    </row>
    <row r="169" spans="1:15" x14ac:dyDescent="0.25">
      <c r="J169" s="20">
        <v>48</v>
      </c>
      <c r="K169" s="25">
        <v>4000</v>
      </c>
      <c r="L169" s="25" t="b">
        <f t="shared" si="33"/>
        <v>1</v>
      </c>
      <c r="M169" s="25" t="b">
        <f t="shared" si="34"/>
        <v>0</v>
      </c>
      <c r="N169" s="55">
        <f t="shared" si="36"/>
        <v>18893</v>
      </c>
      <c r="O169" s="85">
        <f t="shared" si="37"/>
        <v>1869984</v>
      </c>
    </row>
    <row r="170" spans="1:15" ht="15.5" x14ac:dyDescent="0.25">
      <c r="A170" s="71" t="s">
        <v>144</v>
      </c>
      <c r="B170" s="110"/>
      <c r="C170" s="110"/>
      <c r="D170" s="110"/>
      <c r="E170" s="110"/>
      <c r="F170" s="110"/>
      <c r="G170" s="110"/>
      <c r="H170" s="106"/>
      <c r="J170" s="20">
        <v>49</v>
      </c>
      <c r="K170" s="25">
        <v>4000</v>
      </c>
      <c r="L170" s="25" t="b">
        <f t="shared" si="33"/>
        <v>0</v>
      </c>
      <c r="M170" s="25" t="b">
        <f t="shared" si="34"/>
        <v>1</v>
      </c>
      <c r="N170" s="55">
        <f t="shared" si="36"/>
        <v>59023</v>
      </c>
      <c r="O170" s="85">
        <f t="shared" si="37"/>
        <v>1929007</v>
      </c>
    </row>
    <row r="171" spans="1:15" x14ac:dyDescent="0.25">
      <c r="A171" s="110"/>
      <c r="B171" s="110"/>
      <c r="C171" s="110"/>
      <c r="D171" s="110"/>
      <c r="E171" s="110"/>
      <c r="F171" s="111"/>
      <c r="G171" s="111"/>
      <c r="H171" s="106"/>
      <c r="J171" s="20">
        <v>50</v>
      </c>
      <c r="K171" s="25">
        <v>4000</v>
      </c>
      <c r="L171" s="25" t="b">
        <f t="shared" si="33"/>
        <v>1</v>
      </c>
      <c r="M171" s="25" t="b">
        <f t="shared" si="34"/>
        <v>0</v>
      </c>
      <c r="N171" s="55">
        <f t="shared" si="36"/>
        <v>18893</v>
      </c>
      <c r="O171" s="85">
        <f t="shared" si="37"/>
        <v>1947900</v>
      </c>
    </row>
    <row r="172" spans="1:15" x14ac:dyDescent="0.25">
      <c r="A172" s="110"/>
      <c r="B172" s="20" t="s">
        <v>13</v>
      </c>
      <c r="C172" s="20"/>
      <c r="D172" s="20"/>
      <c r="E172" s="20"/>
      <c r="F172" s="20"/>
      <c r="G172" s="20"/>
      <c r="H172" s="106"/>
      <c r="J172" s="20">
        <v>51</v>
      </c>
      <c r="K172" s="25">
        <v>4000</v>
      </c>
      <c r="L172" s="25" t="b">
        <f t="shared" si="33"/>
        <v>0</v>
      </c>
      <c r="M172" s="25" t="b">
        <f t="shared" si="34"/>
        <v>1</v>
      </c>
      <c r="N172" s="55">
        <f t="shared" si="36"/>
        <v>59023</v>
      </c>
      <c r="O172" s="85">
        <f t="shared" si="37"/>
        <v>2006923</v>
      </c>
    </row>
    <row r="173" spans="1:15" x14ac:dyDescent="0.25">
      <c r="A173" s="110"/>
      <c r="B173" s="20"/>
      <c r="C173" s="20"/>
      <c r="D173" s="20" t="s">
        <v>88</v>
      </c>
      <c r="E173" s="20" t="s">
        <v>5</v>
      </c>
      <c r="F173" s="20" t="s">
        <v>89</v>
      </c>
      <c r="G173" s="20"/>
      <c r="H173" s="106"/>
      <c r="J173" s="20">
        <v>52</v>
      </c>
      <c r="K173" s="25">
        <v>4000</v>
      </c>
      <c r="L173" s="25" t="b">
        <f t="shared" si="33"/>
        <v>1</v>
      </c>
      <c r="M173" s="25" t="b">
        <f t="shared" si="34"/>
        <v>0</v>
      </c>
      <c r="N173" s="55">
        <f t="shared" si="36"/>
        <v>18893</v>
      </c>
      <c r="O173" s="85">
        <f t="shared" si="37"/>
        <v>2025816</v>
      </c>
    </row>
    <row r="174" spans="1:15" x14ac:dyDescent="0.25">
      <c r="A174" s="110"/>
      <c r="B174" s="20" t="s">
        <v>113</v>
      </c>
      <c r="C174" s="20" t="s">
        <v>7</v>
      </c>
      <c r="D174" s="112">
        <v>255</v>
      </c>
      <c r="E174" s="113">
        <v>13</v>
      </c>
      <c r="F174" s="114">
        <f>D174*E174</f>
        <v>3315</v>
      </c>
      <c r="G174" s="20"/>
      <c r="H174" s="106"/>
      <c r="J174" s="20">
        <v>53</v>
      </c>
      <c r="K174" s="25">
        <v>4000</v>
      </c>
      <c r="L174" s="25" t="b">
        <f t="shared" si="33"/>
        <v>0</v>
      </c>
      <c r="M174" s="25" t="b">
        <f t="shared" si="34"/>
        <v>1</v>
      </c>
      <c r="N174" s="55">
        <f t="shared" si="36"/>
        <v>59023</v>
      </c>
      <c r="O174" s="85">
        <f t="shared" si="37"/>
        <v>2084839</v>
      </c>
    </row>
    <row r="175" spans="1:15" x14ac:dyDescent="0.25">
      <c r="A175" s="110"/>
      <c r="B175" s="20" t="s">
        <v>114</v>
      </c>
      <c r="C175" s="20" t="s">
        <v>8</v>
      </c>
      <c r="D175" s="112">
        <v>295</v>
      </c>
      <c r="E175" s="113">
        <v>97</v>
      </c>
      <c r="F175" s="114">
        <f>D175*E175</f>
        <v>28615</v>
      </c>
      <c r="G175" s="20"/>
      <c r="H175" s="106"/>
      <c r="J175" s="20">
        <v>54</v>
      </c>
      <c r="K175" s="25">
        <v>4000</v>
      </c>
      <c r="L175" s="25" t="b">
        <f t="shared" si="33"/>
        <v>1</v>
      </c>
      <c r="M175" s="25" t="b">
        <f t="shared" si="34"/>
        <v>0</v>
      </c>
      <c r="N175" s="55">
        <f t="shared" si="36"/>
        <v>18893</v>
      </c>
      <c r="O175" s="85">
        <f t="shared" si="37"/>
        <v>2103732</v>
      </c>
    </row>
    <row r="176" spans="1:15" x14ac:dyDescent="0.25">
      <c r="A176" s="110"/>
      <c r="B176" s="20" t="s">
        <v>115</v>
      </c>
      <c r="C176" s="20" t="s">
        <v>108</v>
      </c>
      <c r="D176" s="112">
        <v>415</v>
      </c>
      <c r="E176" s="113">
        <v>22</v>
      </c>
      <c r="F176" s="114">
        <f>D176*E176</f>
        <v>9130</v>
      </c>
      <c r="G176" s="20"/>
      <c r="H176" s="108"/>
      <c r="J176" s="20">
        <v>55</v>
      </c>
      <c r="K176" s="25">
        <v>4000</v>
      </c>
      <c r="L176" s="25" t="b">
        <f t="shared" si="33"/>
        <v>0</v>
      </c>
      <c r="M176" s="25" t="b">
        <f t="shared" si="34"/>
        <v>1</v>
      </c>
      <c r="N176" s="55">
        <f t="shared" si="36"/>
        <v>59023</v>
      </c>
      <c r="O176" s="85">
        <f t="shared" si="37"/>
        <v>2162755</v>
      </c>
    </row>
    <row r="177" spans="1:15" x14ac:dyDescent="0.25">
      <c r="A177" s="20"/>
      <c r="B177" s="20" t="s">
        <v>112</v>
      </c>
      <c r="C177" s="20" t="s">
        <v>108</v>
      </c>
      <c r="D177" s="112">
        <v>319</v>
      </c>
      <c r="E177" s="113">
        <f t="shared" ref="E177:E180" si="38">E68</f>
        <v>0</v>
      </c>
      <c r="F177" s="20">
        <f>E177*D177</f>
        <v>0</v>
      </c>
      <c r="G177" s="20"/>
      <c r="H177" s="107"/>
      <c r="J177" s="20">
        <v>56</v>
      </c>
      <c r="K177" s="25">
        <v>4000</v>
      </c>
      <c r="L177" s="25" t="b">
        <f t="shared" si="33"/>
        <v>1</v>
      </c>
      <c r="M177" s="25" t="b">
        <f t="shared" si="34"/>
        <v>0</v>
      </c>
      <c r="N177" s="55">
        <f t="shared" si="36"/>
        <v>18893</v>
      </c>
      <c r="O177" s="85">
        <f t="shared" si="37"/>
        <v>2181648</v>
      </c>
    </row>
    <row r="178" spans="1:15" x14ac:dyDescent="0.25">
      <c r="A178" s="110"/>
      <c r="B178" s="20"/>
      <c r="C178" s="20"/>
      <c r="D178" s="112"/>
      <c r="E178" s="113"/>
      <c r="F178" s="20"/>
      <c r="G178" s="20"/>
      <c r="H178" s="108"/>
      <c r="J178" s="20">
        <v>57</v>
      </c>
      <c r="K178" s="25">
        <v>4000</v>
      </c>
      <c r="L178" s="25" t="b">
        <f t="shared" si="33"/>
        <v>0</v>
      </c>
      <c r="M178" s="25" t="b">
        <f t="shared" si="34"/>
        <v>1</v>
      </c>
      <c r="N178" s="55">
        <f t="shared" si="36"/>
        <v>59023</v>
      </c>
      <c r="O178" s="85">
        <f t="shared" si="37"/>
        <v>2240671</v>
      </c>
    </row>
    <row r="179" spans="1:15" x14ac:dyDescent="0.25">
      <c r="A179" s="110"/>
      <c r="B179" s="20" t="s">
        <v>12</v>
      </c>
      <c r="C179" s="20"/>
      <c r="D179" s="112"/>
      <c r="E179" s="113">
        <f t="shared" si="38"/>
        <v>6</v>
      </c>
      <c r="F179" s="20"/>
      <c r="G179" s="20"/>
      <c r="H179" s="108"/>
      <c r="J179" s="20">
        <v>58</v>
      </c>
      <c r="K179" s="25">
        <v>4000</v>
      </c>
      <c r="L179" s="25" t="b">
        <f t="shared" si="33"/>
        <v>1</v>
      </c>
      <c r="M179" s="25" t="b">
        <f t="shared" si="34"/>
        <v>0</v>
      </c>
      <c r="N179" s="55">
        <f t="shared" si="36"/>
        <v>18893</v>
      </c>
      <c r="O179" s="85">
        <f t="shared" si="37"/>
        <v>2259564</v>
      </c>
    </row>
    <row r="180" spans="1:15" x14ac:dyDescent="0.25">
      <c r="A180" s="110"/>
      <c r="B180" s="20" t="s">
        <v>109</v>
      </c>
      <c r="C180" s="20" t="s">
        <v>94</v>
      </c>
      <c r="D180" s="112">
        <v>562</v>
      </c>
      <c r="E180" s="115">
        <f t="shared" si="38"/>
        <v>0</v>
      </c>
      <c r="F180" s="114">
        <f>D180*E180</f>
        <v>0</v>
      </c>
      <c r="G180" s="20"/>
      <c r="H180" s="106"/>
      <c r="J180" s="20">
        <v>59</v>
      </c>
      <c r="K180" s="25">
        <v>4000</v>
      </c>
      <c r="L180" s="25" t="b">
        <f t="shared" si="33"/>
        <v>0</v>
      </c>
      <c r="M180" s="25" t="b">
        <f t="shared" si="34"/>
        <v>1</v>
      </c>
      <c r="N180" s="55">
        <f t="shared" si="36"/>
        <v>59023</v>
      </c>
      <c r="O180" s="85">
        <f t="shared" si="37"/>
        <v>2318587</v>
      </c>
    </row>
    <row r="181" spans="1:15" x14ac:dyDescent="0.25">
      <c r="A181" s="110"/>
      <c r="B181" s="20"/>
      <c r="C181" s="20"/>
      <c r="D181" s="112"/>
      <c r="E181" s="114">
        <f>SUM(E174+E175+E176+E180+E177)</f>
        <v>132</v>
      </c>
      <c r="F181" s="114"/>
      <c r="G181" s="20"/>
      <c r="H181" s="106"/>
      <c r="J181" s="20">
        <v>60</v>
      </c>
      <c r="K181" s="25">
        <v>4000</v>
      </c>
      <c r="L181" s="25" t="b">
        <f t="shared" si="33"/>
        <v>1</v>
      </c>
      <c r="M181" s="25" t="b">
        <f t="shared" si="34"/>
        <v>0</v>
      </c>
      <c r="N181" s="55">
        <f t="shared" si="36"/>
        <v>18893</v>
      </c>
      <c r="O181" s="85">
        <f t="shared" si="37"/>
        <v>2337480</v>
      </c>
    </row>
    <row r="182" spans="1:15" x14ac:dyDescent="0.25">
      <c r="A182" s="20"/>
      <c r="B182" s="110" t="s">
        <v>20</v>
      </c>
      <c r="C182" s="110"/>
      <c r="D182" s="112"/>
      <c r="E182" s="20"/>
      <c r="F182" s="20"/>
      <c r="G182" s="116">
        <v>0.75</v>
      </c>
      <c r="H182" s="107"/>
      <c r="J182" s="20"/>
    </row>
    <row r="183" spans="1:15" x14ac:dyDescent="0.25">
      <c r="A183" s="20"/>
      <c r="B183" s="110" t="s">
        <v>21</v>
      </c>
      <c r="C183" s="110"/>
      <c r="D183" s="112">
        <v>76</v>
      </c>
      <c r="E183" s="89">
        <v>50</v>
      </c>
      <c r="F183" s="89">
        <f>E183*D183</f>
        <v>3800</v>
      </c>
      <c r="G183" s="116">
        <f>1-G182</f>
        <v>0.25</v>
      </c>
      <c r="H183" s="107"/>
      <c r="J183" s="20"/>
    </row>
    <row r="184" spans="1:15" x14ac:dyDescent="0.25">
      <c r="A184" s="20"/>
      <c r="B184" s="20" t="s">
        <v>10</v>
      </c>
      <c r="C184" s="20"/>
      <c r="D184" s="112">
        <v>16</v>
      </c>
      <c r="E184" s="89">
        <f>G184*E181</f>
        <v>132</v>
      </c>
      <c r="F184" s="89">
        <f>E184*D184</f>
        <v>2112</v>
      </c>
      <c r="G184" s="116">
        <f>G182+G183</f>
        <v>1</v>
      </c>
      <c r="H184" s="107"/>
      <c r="J184" s="20"/>
    </row>
    <row r="185" spans="1:15" x14ac:dyDescent="0.25">
      <c r="A185" s="20"/>
      <c r="B185" s="20"/>
      <c r="C185" s="110" t="s">
        <v>22</v>
      </c>
      <c r="D185" s="20"/>
      <c r="E185" s="20"/>
      <c r="F185" s="89">
        <f>F174+F175+F176+F180+F183+F184+F177</f>
        <v>46972</v>
      </c>
      <c r="G185" s="20"/>
      <c r="H185" s="107"/>
      <c r="J185" s="20"/>
    </row>
    <row r="186" spans="1:15" x14ac:dyDescent="0.25">
      <c r="A186" s="20"/>
      <c r="B186" s="20"/>
      <c r="C186" s="110" t="s">
        <v>35</v>
      </c>
      <c r="D186" s="20"/>
      <c r="E186" s="20"/>
      <c r="F186" s="112">
        <f>F185/E181</f>
        <v>355.84848484848487</v>
      </c>
      <c r="G186" s="20"/>
      <c r="H186" s="107"/>
      <c r="J186" s="20"/>
    </row>
    <row r="187" spans="1:15" x14ac:dyDescent="0.25">
      <c r="A187" s="20"/>
      <c r="B187" s="20"/>
      <c r="C187" s="20" t="s">
        <v>36</v>
      </c>
      <c r="D187" s="20"/>
      <c r="E187" s="20"/>
      <c r="F187" s="112">
        <f>F186</f>
        <v>355.84848484848487</v>
      </c>
      <c r="G187" s="20"/>
      <c r="H187" s="107"/>
      <c r="J187" s="20"/>
    </row>
    <row r="188" spans="1:15" x14ac:dyDescent="0.25">
      <c r="A188" s="20"/>
      <c r="B188" s="20"/>
      <c r="C188" s="20"/>
      <c r="D188" s="20"/>
      <c r="E188" s="20"/>
      <c r="F188" s="20"/>
      <c r="G188" s="20"/>
      <c r="J188" s="20"/>
    </row>
  </sheetData>
  <sheetProtection selectLockedCells="1" selectUnlockedCells="1"/>
  <mergeCells count="13">
    <mergeCell ref="M120:N120"/>
    <mergeCell ref="S38:S39"/>
    <mergeCell ref="B3:H4"/>
    <mergeCell ref="B24:G24"/>
    <mergeCell ref="B6:G6"/>
    <mergeCell ref="B12:G12"/>
    <mergeCell ref="B14:G14"/>
    <mergeCell ref="B21:H22"/>
    <mergeCell ref="P16:R18"/>
    <mergeCell ref="B13:G13"/>
    <mergeCell ref="B19:G19"/>
    <mergeCell ref="B16:G16"/>
    <mergeCell ref="B89:D89"/>
  </mergeCells>
  <phoneticPr fontId="4" type="noConversion"/>
  <pageMargins left="0.75" right="0.75" top="1" bottom="1" header="0.5" footer="0.5"/>
  <pageSetup scale="36" fitToHeight="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11"/>
  <sheetViews>
    <sheetView topLeftCell="A46" zoomScale="75" zoomScaleNormal="75" workbookViewId="0">
      <pane xSplit="4" topLeftCell="E1" activePane="topRight" state="frozenSplit"/>
      <selection activeCell="A23" sqref="A23:IV29"/>
      <selection pane="topRight" activeCell="K67" sqref="K67"/>
    </sheetView>
  </sheetViews>
  <sheetFormatPr defaultColWidth="8.90625" defaultRowHeight="12.5" x14ac:dyDescent="0.25"/>
  <cols>
    <col min="3" max="3" width="21.6328125" customWidth="1"/>
    <col min="4" max="4" width="9.08984375" customWidth="1"/>
    <col min="8" max="10" width="10.36328125" customWidth="1"/>
    <col min="12" max="12" width="10.36328125" customWidth="1"/>
    <col min="24" max="24" width="9.08984375" style="14" customWidth="1"/>
  </cols>
  <sheetData>
    <row r="1" spans="1:24" x14ac:dyDescent="0.25">
      <c r="A1" s="12" t="s">
        <v>48</v>
      </c>
    </row>
    <row r="2" spans="1:24" x14ac:dyDescent="0.25">
      <c r="E2" s="148" t="s">
        <v>44</v>
      </c>
      <c r="F2" s="148"/>
      <c r="G2" s="148"/>
      <c r="H2" s="148"/>
      <c r="I2" s="148" t="s">
        <v>45</v>
      </c>
      <c r="J2" s="148"/>
      <c r="K2" s="148"/>
      <c r="L2" s="148"/>
      <c r="M2" s="148" t="s">
        <v>46</v>
      </c>
      <c r="N2" s="148"/>
      <c r="O2" s="148"/>
      <c r="P2" s="148"/>
      <c r="Q2" s="148" t="s">
        <v>47</v>
      </c>
      <c r="R2" s="148"/>
      <c r="S2" s="148"/>
      <c r="T2" s="148"/>
      <c r="U2" s="148" t="s">
        <v>49</v>
      </c>
      <c r="V2" s="148"/>
      <c r="W2" s="148"/>
      <c r="X2" s="148"/>
    </row>
    <row r="3" spans="1:24" x14ac:dyDescent="0.25">
      <c r="D3" s="12"/>
      <c r="E3">
        <v>1</v>
      </c>
      <c r="F3">
        <v>2</v>
      </c>
      <c r="G3">
        <v>3</v>
      </c>
      <c r="H3">
        <v>4</v>
      </c>
      <c r="I3">
        <v>1</v>
      </c>
      <c r="J3">
        <v>2</v>
      </c>
      <c r="K3">
        <v>3</v>
      </c>
      <c r="L3">
        <v>4</v>
      </c>
      <c r="M3">
        <v>1</v>
      </c>
      <c r="N3">
        <v>2</v>
      </c>
      <c r="O3">
        <v>3</v>
      </c>
      <c r="P3">
        <v>4</v>
      </c>
      <c r="Q3">
        <v>1</v>
      </c>
      <c r="R3">
        <v>2</v>
      </c>
      <c r="S3">
        <v>3</v>
      </c>
      <c r="T3">
        <v>4</v>
      </c>
      <c r="U3">
        <v>1</v>
      </c>
      <c r="V3">
        <v>2</v>
      </c>
      <c r="W3">
        <v>3</v>
      </c>
      <c r="X3" s="14">
        <v>4</v>
      </c>
    </row>
    <row r="4" spans="1:24" x14ac:dyDescent="0.25">
      <c r="B4" s="12" t="s">
        <v>54</v>
      </c>
      <c r="D4" s="12"/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>
        <v>7</v>
      </c>
      <c r="L4">
        <v>8</v>
      </c>
      <c r="M4">
        <v>9</v>
      </c>
      <c r="N4">
        <v>10</v>
      </c>
      <c r="O4">
        <v>11</v>
      </c>
      <c r="P4">
        <v>12</v>
      </c>
      <c r="Q4">
        <v>13</v>
      </c>
      <c r="R4">
        <v>14</v>
      </c>
      <c r="S4">
        <v>15</v>
      </c>
      <c r="T4">
        <v>16</v>
      </c>
      <c r="U4">
        <v>17</v>
      </c>
      <c r="V4">
        <v>18</v>
      </c>
      <c r="W4">
        <v>19</v>
      </c>
      <c r="X4" s="14">
        <v>20</v>
      </c>
    </row>
    <row r="5" spans="1:24" x14ac:dyDescent="0.25">
      <c r="B5" s="12" t="s">
        <v>50</v>
      </c>
      <c r="E5" s="11">
        <f>VLOOKUP(E4,Assumptions!$K$93:$M$118,3,TRUE)</f>
        <v>43.56</v>
      </c>
      <c r="F5" s="11">
        <f>VLOOKUP(F4,Assumptions!$K$93:$M$118,3,TRUE)</f>
        <v>79.2</v>
      </c>
      <c r="G5" s="11">
        <f>VLOOKUP(G4,Assumptions!$K$93:$M$118,3,TRUE)</f>
        <v>105.60000000000001</v>
      </c>
      <c r="H5" s="11">
        <f>VLOOKUP(H4,Assumptions!$K$93:$M$118,3,TRUE)</f>
        <v>132</v>
      </c>
      <c r="I5" s="11">
        <f>VLOOKUP(I4,Assumptions!$K$93:$M$118,3,TRUE)</f>
        <v>165</v>
      </c>
      <c r="J5" s="11">
        <f>VLOOKUP(J4,Assumptions!$K$93:$M$118,3,TRUE)</f>
        <v>198</v>
      </c>
      <c r="K5" s="11">
        <f>VLOOKUP(K4,Assumptions!$K$93:$M$118,3,TRUE)</f>
        <v>231</v>
      </c>
      <c r="L5" s="11">
        <f>VLOOKUP(L4,Assumptions!$K$93:$M$118,3,TRUE)</f>
        <v>264</v>
      </c>
      <c r="M5" s="11">
        <f>VLOOKUP(M4,Assumptions!$K$93:$M$118,3,TRUE)</f>
        <v>318</v>
      </c>
      <c r="N5" s="11">
        <f>VLOOKUP(N4,Assumptions!$K$93:$M$118,3,TRUE)</f>
        <v>372</v>
      </c>
      <c r="O5" s="11">
        <f>VLOOKUP(O4,Assumptions!$K$93:$M$118,3,TRUE)</f>
        <v>426</v>
      </c>
      <c r="P5" s="11">
        <f>VLOOKUP(P4,Assumptions!$K$93:$M$118,3,TRUE)</f>
        <v>480</v>
      </c>
      <c r="Q5" s="11">
        <f>VLOOKUP(Q4,Assumptions!$K$93:$M$118,3,TRUE)</f>
        <v>600</v>
      </c>
      <c r="R5" s="11">
        <f>VLOOKUP(R4,Assumptions!$K$93:$M$118,3,TRUE)</f>
        <v>720</v>
      </c>
      <c r="S5" s="11">
        <f>VLOOKUP(S4,Assumptions!$K$93:$M$118,3,TRUE)</f>
        <v>840</v>
      </c>
      <c r="T5" s="11">
        <f>VLOOKUP(T4,Assumptions!$K$93:$M$118,3,TRUE)</f>
        <v>960</v>
      </c>
      <c r="U5" s="11">
        <f>VLOOKUP(U4,Assumptions!$K$93:$M$118,3,TRUE)</f>
        <v>1200</v>
      </c>
      <c r="V5" s="11">
        <f>VLOOKUP(V4,Assumptions!$K$93:$M$118,3,TRUE)</f>
        <v>1440</v>
      </c>
      <c r="W5" s="11">
        <f>VLOOKUP(W4,Assumptions!$K$93:$M$118,3,TRUE)</f>
        <v>1680</v>
      </c>
      <c r="X5" s="11">
        <f>VLOOKUP(X4,Assumptions!$K$93:$M$118,3,TRUE)</f>
        <v>1920</v>
      </c>
    </row>
    <row r="7" spans="1:24" s="3" customFormat="1" x14ac:dyDescent="0.25">
      <c r="B7" s="15" t="s">
        <v>53</v>
      </c>
      <c r="D7" s="16">
        <f>Assumptions!E89</f>
        <v>79.462121212121218</v>
      </c>
      <c r="E7" s="3">
        <f>$D$7*6*(E5/3)</f>
        <v>6922.7400000000016</v>
      </c>
      <c r="F7" s="3">
        <f>$D$7*6*(F5-E5)/3+E7</f>
        <v>12586.800000000003</v>
      </c>
      <c r="G7" s="3">
        <f>$D$7*6*(G5-F5)/3+F7</f>
        <v>16782.400000000005</v>
      </c>
      <c r="H7" s="3">
        <f>$D$7*6*(H5-G5)/3+G7</f>
        <v>20978.000000000004</v>
      </c>
      <c r="I7" s="3">
        <f>$D$7*6*(I5-H5)/3+H7</f>
        <v>26222.500000000004</v>
      </c>
      <c r="J7" s="3">
        <f t="shared" ref="J7:X7" si="0">$D$7*6*(J5-I5)/3+I7</f>
        <v>31467.000000000004</v>
      </c>
      <c r="K7" s="3">
        <f t="shared" si="0"/>
        <v>36711.500000000007</v>
      </c>
      <c r="L7" s="3">
        <f t="shared" si="0"/>
        <v>41956.000000000007</v>
      </c>
      <c r="M7" s="3">
        <f>$D$7*6*(M5-L5)/3+L7</f>
        <v>50537.909090909103</v>
      </c>
      <c r="N7" s="3">
        <f t="shared" si="0"/>
        <v>59119.818181818191</v>
      </c>
      <c r="O7" s="3">
        <f t="shared" si="0"/>
        <v>67701.727272727279</v>
      </c>
      <c r="P7" s="3">
        <f t="shared" si="0"/>
        <v>76283.636363636368</v>
      </c>
      <c r="Q7" s="3">
        <f t="shared" si="0"/>
        <v>95354.545454545456</v>
      </c>
      <c r="R7" s="3">
        <f t="shared" si="0"/>
        <v>114425.45454545454</v>
      </c>
      <c r="S7" s="3">
        <f t="shared" si="0"/>
        <v>133496.36363636365</v>
      </c>
      <c r="T7" s="3">
        <f t="shared" si="0"/>
        <v>152567.27272727274</v>
      </c>
      <c r="U7" s="3">
        <f t="shared" si="0"/>
        <v>190709.09090909091</v>
      </c>
      <c r="V7" s="3">
        <f t="shared" si="0"/>
        <v>228850.90909090909</v>
      </c>
      <c r="W7" s="3">
        <f t="shared" si="0"/>
        <v>266992.72727272729</v>
      </c>
      <c r="X7" s="14">
        <f t="shared" si="0"/>
        <v>305134.54545454547</v>
      </c>
    </row>
    <row r="8" spans="1:24" x14ac:dyDescent="0.25">
      <c r="H8" s="13">
        <f>78*D7*(H5/12)</f>
        <v>68178.5</v>
      </c>
      <c r="L8" s="13">
        <f>D7*78*(L5-H5)/12</f>
        <v>68178.5</v>
      </c>
    </row>
    <row r="10" spans="1:24" x14ac:dyDescent="0.25">
      <c r="B10" s="12" t="s">
        <v>51</v>
      </c>
    </row>
    <row r="12" spans="1:24" x14ac:dyDescent="0.25">
      <c r="C12" s="20" t="s">
        <v>159</v>
      </c>
      <c r="D12" s="12"/>
      <c r="E12" s="14">
        <f>VLOOKUP(E4,ML,11,TRUE)</f>
        <v>1</v>
      </c>
      <c r="F12" s="14">
        <f t="shared" ref="F12:X12" si="1">VLOOKUP(F4,ML,11,TRUE)</f>
        <v>1</v>
      </c>
      <c r="G12" s="14">
        <f t="shared" si="1"/>
        <v>1</v>
      </c>
      <c r="H12" s="14">
        <f t="shared" si="1"/>
        <v>2</v>
      </c>
      <c r="I12" s="14">
        <f t="shared" si="1"/>
        <v>2</v>
      </c>
      <c r="J12" s="14">
        <f t="shared" si="1"/>
        <v>3</v>
      </c>
      <c r="K12" s="14">
        <f t="shared" si="1"/>
        <v>3</v>
      </c>
      <c r="L12" s="14">
        <f t="shared" si="1"/>
        <v>3</v>
      </c>
      <c r="M12" s="14">
        <f t="shared" si="1"/>
        <v>4</v>
      </c>
      <c r="N12" s="14">
        <f t="shared" si="1"/>
        <v>5</v>
      </c>
      <c r="O12" s="14">
        <f t="shared" si="1"/>
        <v>5</v>
      </c>
      <c r="P12" s="14">
        <f t="shared" si="1"/>
        <v>6</v>
      </c>
      <c r="Q12" s="14">
        <f t="shared" si="1"/>
        <v>7</v>
      </c>
      <c r="R12" s="14">
        <f t="shared" si="1"/>
        <v>8</v>
      </c>
      <c r="S12" s="14">
        <f t="shared" si="1"/>
        <v>9</v>
      </c>
      <c r="T12" s="14">
        <f t="shared" si="1"/>
        <v>10</v>
      </c>
      <c r="U12" s="14">
        <f t="shared" si="1"/>
        <v>11</v>
      </c>
      <c r="V12" s="14">
        <f t="shared" si="1"/>
        <v>12</v>
      </c>
      <c r="W12" s="14">
        <f t="shared" si="1"/>
        <v>13</v>
      </c>
      <c r="X12" s="14">
        <f t="shared" si="1"/>
        <v>14</v>
      </c>
    </row>
    <row r="13" spans="1:24" x14ac:dyDescent="0.25">
      <c r="C13" s="20" t="s">
        <v>131</v>
      </c>
      <c r="E13" s="14">
        <f t="shared" ref="E13:X13" si="2">VLOOKUP(E4,ML,13,FALSE)</f>
        <v>59023</v>
      </c>
      <c r="F13" s="14">
        <f t="shared" si="2"/>
        <v>0</v>
      </c>
      <c r="G13" s="14">
        <f t="shared" si="2"/>
        <v>0</v>
      </c>
      <c r="H13" s="14">
        <f t="shared" si="2"/>
        <v>18893</v>
      </c>
      <c r="I13" s="14">
        <f t="shared" si="2"/>
        <v>0</v>
      </c>
      <c r="J13" s="14">
        <f t="shared" si="2"/>
        <v>59023</v>
      </c>
      <c r="K13" s="14">
        <f t="shared" si="2"/>
        <v>0</v>
      </c>
      <c r="L13" s="14">
        <f t="shared" si="2"/>
        <v>0</v>
      </c>
      <c r="M13" s="14">
        <f t="shared" si="2"/>
        <v>18893</v>
      </c>
      <c r="N13" s="14">
        <f t="shared" si="2"/>
        <v>59023</v>
      </c>
      <c r="O13" s="14">
        <f t="shared" si="2"/>
        <v>0</v>
      </c>
      <c r="P13" s="14">
        <f t="shared" si="2"/>
        <v>18893</v>
      </c>
      <c r="Q13" s="14">
        <f t="shared" si="2"/>
        <v>59023</v>
      </c>
      <c r="R13" s="14">
        <f t="shared" si="2"/>
        <v>18893</v>
      </c>
      <c r="S13" s="14">
        <f t="shared" si="2"/>
        <v>59023</v>
      </c>
      <c r="T13" s="14">
        <f t="shared" si="2"/>
        <v>18893</v>
      </c>
      <c r="U13" s="14">
        <f t="shared" si="2"/>
        <v>59023</v>
      </c>
      <c r="V13" s="14">
        <f t="shared" si="2"/>
        <v>18893</v>
      </c>
      <c r="W13" s="14">
        <f t="shared" si="2"/>
        <v>59023</v>
      </c>
      <c r="X13" s="14">
        <f t="shared" si="2"/>
        <v>18893</v>
      </c>
    </row>
    <row r="14" spans="1:24" x14ac:dyDescent="0.25">
      <c r="C14" s="12" t="s">
        <v>71</v>
      </c>
      <c r="E14" s="14">
        <f>3*SUM(E40:E59)</f>
        <v>4322.9736328125</v>
      </c>
      <c r="F14" s="14">
        <f t="shared" ref="F14:X14" si="3">3*SUM(F40:F59)</f>
        <v>4322.9736328125</v>
      </c>
      <c r="G14" s="14">
        <f t="shared" si="3"/>
        <v>4322.9736328125</v>
      </c>
      <c r="H14" s="14">
        <f t="shared" si="3"/>
        <v>5706.73828125</v>
      </c>
      <c r="I14" s="14">
        <f>3*SUM(I40:I59)</f>
        <v>5706.73828125</v>
      </c>
      <c r="J14" s="14">
        <f t="shared" si="3"/>
        <v>10029.7119140625</v>
      </c>
      <c r="K14" s="14">
        <f t="shared" si="3"/>
        <v>10029.7119140625</v>
      </c>
      <c r="L14" s="14">
        <f t="shared" si="3"/>
        <v>10029.7119140625</v>
      </c>
      <c r="M14" s="14">
        <f t="shared" si="3"/>
        <v>11413.4765625</v>
      </c>
      <c r="N14" s="14">
        <f t="shared" si="3"/>
        <v>15736.4501953125</v>
      </c>
      <c r="O14" s="14">
        <f t="shared" si="3"/>
        <v>15736.4501953125</v>
      </c>
      <c r="P14" s="14">
        <f t="shared" si="3"/>
        <v>17120.21484375</v>
      </c>
      <c r="Q14" s="14">
        <f t="shared" si="3"/>
        <v>21443.1884765625</v>
      </c>
      <c r="R14" s="14">
        <f t="shared" si="3"/>
        <v>22826.953125</v>
      </c>
      <c r="S14" s="14">
        <f t="shared" si="3"/>
        <v>27149.9267578125</v>
      </c>
      <c r="T14" s="14">
        <f t="shared" si="3"/>
        <v>28533.69140625</v>
      </c>
      <c r="U14" s="14">
        <f>3*SUM(U40:U59)</f>
        <v>28533.69140625</v>
      </c>
      <c r="V14" s="14">
        <f t="shared" si="3"/>
        <v>29917.4560546875</v>
      </c>
      <c r="W14" s="14">
        <f t="shared" si="3"/>
        <v>34240.4296875</v>
      </c>
      <c r="X14" s="14">
        <f t="shared" si="3"/>
        <v>34240.4296875</v>
      </c>
    </row>
    <row r="15" spans="1:24" x14ac:dyDescent="0.25">
      <c r="E15" s="18"/>
      <c r="F15" s="18"/>
      <c r="G15" s="18"/>
      <c r="H15" s="18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4" x14ac:dyDescent="0.25">
      <c r="C16" s="20" t="s">
        <v>91</v>
      </c>
      <c r="E16" s="18">
        <v>30</v>
      </c>
      <c r="F16" s="18"/>
      <c r="G16" s="18"/>
      <c r="H16" s="18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3:24" x14ac:dyDescent="0.25">
      <c r="C17" s="12" t="s">
        <v>60</v>
      </c>
      <c r="E17" s="18">
        <f>IF(E16-E5&gt;0,0,E5-20)</f>
        <v>23.560000000000002</v>
      </c>
      <c r="F17" s="18">
        <f t="shared" ref="F17:X17" si="4">F5-E5</f>
        <v>35.64</v>
      </c>
      <c r="G17" s="18">
        <f t="shared" si="4"/>
        <v>26.400000000000006</v>
      </c>
      <c r="H17" s="18">
        <f t="shared" si="4"/>
        <v>26.399999999999991</v>
      </c>
      <c r="I17" s="18">
        <f t="shared" si="4"/>
        <v>33</v>
      </c>
      <c r="J17" s="18">
        <f t="shared" si="4"/>
        <v>33</v>
      </c>
      <c r="K17" s="18">
        <f t="shared" si="4"/>
        <v>33</v>
      </c>
      <c r="L17" s="18">
        <f t="shared" si="4"/>
        <v>33</v>
      </c>
      <c r="M17" s="18">
        <f t="shared" si="4"/>
        <v>54</v>
      </c>
      <c r="N17" s="18">
        <f t="shared" si="4"/>
        <v>54</v>
      </c>
      <c r="O17" s="18">
        <f t="shared" si="4"/>
        <v>54</v>
      </c>
      <c r="P17" s="18">
        <f t="shared" si="4"/>
        <v>54</v>
      </c>
      <c r="Q17" s="18">
        <f t="shared" si="4"/>
        <v>120</v>
      </c>
      <c r="R17" s="18">
        <f t="shared" si="4"/>
        <v>120</v>
      </c>
      <c r="S17" s="18">
        <f t="shared" si="4"/>
        <v>120</v>
      </c>
      <c r="T17" s="18">
        <f t="shared" si="4"/>
        <v>120</v>
      </c>
      <c r="U17" s="18">
        <f t="shared" si="4"/>
        <v>240</v>
      </c>
      <c r="V17" s="18">
        <f t="shared" si="4"/>
        <v>240</v>
      </c>
      <c r="W17" s="18">
        <f t="shared" si="4"/>
        <v>240</v>
      </c>
      <c r="X17" s="18">
        <f t="shared" si="4"/>
        <v>240</v>
      </c>
    </row>
    <row r="18" spans="3:24" x14ac:dyDescent="0.25">
      <c r="C18" s="12" t="s">
        <v>61</v>
      </c>
      <c r="E18" s="18">
        <f>E16*Assumptions!$F$187</f>
        <v>10675.454545454546</v>
      </c>
      <c r="F18" s="18">
        <f>F17*Assumptions!$F$187</f>
        <v>12682.44</v>
      </c>
      <c r="G18" s="18">
        <f>G17*Assumptions!$F$187</f>
        <v>9394.4000000000033</v>
      </c>
      <c r="H18" s="18">
        <f>H17*Assumptions!$F$187</f>
        <v>9394.3999999999978</v>
      </c>
      <c r="I18" s="18">
        <f>I17*Assumptions!$F$187</f>
        <v>11743</v>
      </c>
      <c r="J18" s="18">
        <f>J17*Assumptions!$F$187</f>
        <v>11743</v>
      </c>
      <c r="K18" s="18">
        <f>K17*Assumptions!$F$187</f>
        <v>11743</v>
      </c>
      <c r="L18" s="18">
        <f>L17*Assumptions!$F$187</f>
        <v>11743</v>
      </c>
      <c r="M18" s="18">
        <f>M17*Assumptions!$F$187</f>
        <v>19215.818181818184</v>
      </c>
      <c r="N18" s="18">
        <f>N17*Assumptions!$F$187</f>
        <v>19215.818181818184</v>
      </c>
      <c r="O18" s="18">
        <f>O17*Assumptions!$F$187</f>
        <v>19215.818181818184</v>
      </c>
      <c r="P18" s="18">
        <f>P17*Assumptions!$F$187</f>
        <v>19215.818181818184</v>
      </c>
      <c r="Q18" s="18">
        <f>Q17*Assumptions!$F$187</f>
        <v>42701.818181818184</v>
      </c>
      <c r="R18" s="18">
        <f>R17*Assumptions!$F$187</f>
        <v>42701.818181818184</v>
      </c>
      <c r="S18" s="18">
        <f>S17*Assumptions!$F$187</f>
        <v>42701.818181818184</v>
      </c>
      <c r="T18" s="18">
        <f>T17*Assumptions!$F$187</f>
        <v>42701.818181818184</v>
      </c>
      <c r="U18" s="18">
        <f>U17*Assumptions!$F$187</f>
        <v>85403.636363636368</v>
      </c>
      <c r="V18" s="18">
        <f>V17*Assumptions!$F$187</f>
        <v>85403.636363636368</v>
      </c>
      <c r="W18" s="18">
        <f>W17*Assumptions!$F$187</f>
        <v>85403.636363636368</v>
      </c>
      <c r="X18" s="18">
        <f>X17*Assumptions!$F$187</f>
        <v>85403.636363636368</v>
      </c>
    </row>
    <row r="19" spans="3:24" x14ac:dyDescent="0.25">
      <c r="C19" s="12" t="s">
        <v>56</v>
      </c>
      <c r="E19" s="18">
        <f>3*SUM(E64:E83)</f>
        <v>614.04714133522737</v>
      </c>
      <c r="F19" s="18">
        <f t="shared" ref="F19:X19" si="5">3*SUM(F64:F83)</f>
        <v>1542.9367897727273</v>
      </c>
      <c r="G19" s="18">
        <f t="shared" si="5"/>
        <v>2231.0031960227275</v>
      </c>
      <c r="H19" s="18">
        <f t="shared" si="5"/>
        <v>2919.069602272727</v>
      </c>
      <c r="I19" s="18">
        <f t="shared" si="5"/>
        <v>3779.152610085227</v>
      </c>
      <c r="J19" s="18">
        <f t="shared" si="5"/>
        <v>4639.235617897727</v>
      </c>
      <c r="K19" s="18">
        <f t="shared" si="5"/>
        <v>5499.318625710227</v>
      </c>
      <c r="L19" s="18">
        <f t="shared" si="5"/>
        <v>6359.4016335227279</v>
      </c>
      <c r="M19" s="18">
        <f t="shared" si="5"/>
        <v>7766.810191761364</v>
      </c>
      <c r="N19" s="18">
        <f t="shared" si="5"/>
        <v>9174.21875</v>
      </c>
      <c r="O19" s="18">
        <f t="shared" si="5"/>
        <v>10581.627308238638</v>
      </c>
      <c r="P19" s="18">
        <f t="shared" si="5"/>
        <v>11989.035866477274</v>
      </c>
      <c r="Q19" s="18">
        <f t="shared" si="5"/>
        <v>15116.610440340912</v>
      </c>
      <c r="R19" s="18">
        <f t="shared" si="5"/>
        <v>18244.185014204551</v>
      </c>
      <c r="S19" s="18">
        <f t="shared" si="5"/>
        <v>21371.759588068187</v>
      </c>
      <c r="T19" s="18">
        <f t="shared" si="5"/>
        <v>24499.334161931823</v>
      </c>
      <c r="U19" s="18">
        <f t="shared" si="5"/>
        <v>30140.436168323868</v>
      </c>
      <c r="V19" s="18">
        <f t="shared" si="5"/>
        <v>35466.695667613647</v>
      </c>
      <c r="W19" s="18">
        <f t="shared" si="5"/>
        <v>41033.778409090919</v>
      </c>
      <c r="X19" s="18">
        <f t="shared" si="5"/>
        <v>41729.476651278419</v>
      </c>
    </row>
    <row r="20" spans="3:24" x14ac:dyDescent="0.25">
      <c r="C20" s="20" t="s">
        <v>128</v>
      </c>
      <c r="D20">
        <f>H19*4</f>
        <v>11676.278409090908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3:24" x14ac:dyDescent="0.25">
      <c r="C21" s="1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3:24" x14ac:dyDescent="0.25">
      <c r="C22" s="12" t="s">
        <v>62</v>
      </c>
      <c r="E22" s="18">
        <f>E14+E19</f>
        <v>4937.020774147727</v>
      </c>
      <c r="F22" s="18">
        <f t="shared" ref="F22:X22" si="6">F14+F19</f>
        <v>5865.910422585227</v>
      </c>
      <c r="G22" s="18">
        <f t="shared" si="6"/>
        <v>6553.9768288352279</v>
      </c>
      <c r="H22" s="18">
        <f t="shared" si="6"/>
        <v>8625.8078835227279</v>
      </c>
      <c r="I22" s="18">
        <f t="shared" si="6"/>
        <v>9485.8908913352279</v>
      </c>
      <c r="J22" s="18">
        <f t="shared" si="6"/>
        <v>14668.947531960228</v>
      </c>
      <c r="K22" s="18">
        <f t="shared" si="6"/>
        <v>15529.030539772728</v>
      </c>
      <c r="L22" s="18">
        <f t="shared" si="6"/>
        <v>16389.113547585228</v>
      </c>
      <c r="M22" s="18">
        <f t="shared" si="6"/>
        <v>19180.286754261364</v>
      </c>
      <c r="N22" s="18">
        <f t="shared" si="6"/>
        <v>24910.6689453125</v>
      </c>
      <c r="O22" s="18">
        <f t="shared" si="6"/>
        <v>26318.07750355114</v>
      </c>
      <c r="P22" s="18">
        <f t="shared" si="6"/>
        <v>29109.250710227272</v>
      </c>
      <c r="Q22" s="18">
        <f t="shared" si="6"/>
        <v>36559.798916903412</v>
      </c>
      <c r="R22" s="18">
        <f t="shared" si="6"/>
        <v>41071.138139204551</v>
      </c>
      <c r="S22" s="18">
        <f t="shared" si="6"/>
        <v>48521.686345880691</v>
      </c>
      <c r="T22" s="18">
        <f t="shared" si="6"/>
        <v>53033.025568181823</v>
      </c>
      <c r="U22" s="18">
        <f t="shared" si="6"/>
        <v>58674.127574573868</v>
      </c>
      <c r="V22" s="18">
        <f t="shared" si="6"/>
        <v>65384.151722301147</v>
      </c>
      <c r="W22" s="18">
        <f t="shared" si="6"/>
        <v>75274.208096590912</v>
      </c>
      <c r="X22" s="18">
        <f t="shared" si="6"/>
        <v>75969.906338778412</v>
      </c>
    </row>
    <row r="23" spans="3:24" x14ac:dyDescent="0.25">
      <c r="E23" s="18"/>
      <c r="F23" s="18"/>
      <c r="G23" s="18"/>
      <c r="H23" s="18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3:24" x14ac:dyDescent="0.25">
      <c r="C24" s="12" t="s">
        <v>63</v>
      </c>
      <c r="D24" s="4">
        <f>Assumptions!I24</f>
        <v>650</v>
      </c>
      <c r="E24" s="18">
        <f t="shared" ref="E24:X24" si="7">$D$24*3*E12</f>
        <v>1950</v>
      </c>
      <c r="F24" s="18">
        <f t="shared" si="7"/>
        <v>1950</v>
      </c>
      <c r="G24" s="18">
        <f t="shared" si="7"/>
        <v>1950</v>
      </c>
      <c r="H24" s="18">
        <f t="shared" si="7"/>
        <v>3900</v>
      </c>
      <c r="I24" s="18">
        <f t="shared" si="7"/>
        <v>3900</v>
      </c>
      <c r="J24" s="18">
        <f t="shared" si="7"/>
        <v>5850</v>
      </c>
      <c r="K24" s="18">
        <f t="shared" si="7"/>
        <v>5850</v>
      </c>
      <c r="L24" s="18">
        <f t="shared" si="7"/>
        <v>5850</v>
      </c>
      <c r="M24" s="18">
        <f t="shared" si="7"/>
        <v>7800</v>
      </c>
      <c r="N24" s="18">
        <f t="shared" si="7"/>
        <v>9750</v>
      </c>
      <c r="O24" s="18">
        <f t="shared" si="7"/>
        <v>9750</v>
      </c>
      <c r="P24" s="18">
        <f t="shared" si="7"/>
        <v>11700</v>
      </c>
      <c r="Q24" s="18">
        <f t="shared" si="7"/>
        <v>13650</v>
      </c>
      <c r="R24" s="18">
        <f t="shared" si="7"/>
        <v>15600</v>
      </c>
      <c r="S24" s="18">
        <f t="shared" si="7"/>
        <v>17550</v>
      </c>
      <c r="T24" s="18">
        <f t="shared" si="7"/>
        <v>19500</v>
      </c>
      <c r="U24" s="18">
        <f t="shared" si="7"/>
        <v>21450</v>
      </c>
      <c r="V24" s="18">
        <f t="shared" si="7"/>
        <v>23400</v>
      </c>
      <c r="W24" s="18">
        <f t="shared" si="7"/>
        <v>25350</v>
      </c>
      <c r="X24" s="18">
        <f t="shared" si="7"/>
        <v>27300</v>
      </c>
    </row>
    <row r="25" spans="3:24" ht="13.5" customHeight="1" x14ac:dyDescent="0.25">
      <c r="C25" s="12" t="s">
        <v>65</v>
      </c>
      <c r="E25" s="18">
        <f>3*VLOOKUP(E$5,Assumptions!$K$12:$N$64,3,TRUE)</f>
        <v>3000</v>
      </c>
      <c r="F25" s="18">
        <f>3*VLOOKUP(F$5,Assumptions!$K$12:$N$64,3,TRUE)</f>
        <v>3000</v>
      </c>
      <c r="G25" s="18">
        <f>3*VLOOKUP(G$5,Assumptions!$K$12:$N$64,3,TRUE)</f>
        <v>3000</v>
      </c>
      <c r="H25" s="18">
        <f>3*VLOOKUP(H$5,Assumptions!$K$12:$N$64,3,TRUE)</f>
        <v>3000</v>
      </c>
      <c r="I25" s="18">
        <f>3*VLOOKUP(I$5,Assumptions!$K$12:$N$64,3,TRUE)</f>
        <v>3000</v>
      </c>
      <c r="J25" s="18">
        <f>3*VLOOKUP(J$5,Assumptions!$K$12:$N$64,3,TRUE)</f>
        <v>3000</v>
      </c>
      <c r="K25" s="18">
        <f>3*VLOOKUP(K$5,Assumptions!$K$12:$N$64,3,TRUE)</f>
        <v>4500</v>
      </c>
      <c r="L25" s="18">
        <f>3*VLOOKUP(L$5,Assumptions!$K$12:$N$64,3,TRUE)</f>
        <v>4500</v>
      </c>
      <c r="M25" s="18">
        <f>3*VLOOKUP(M$5,Assumptions!$K$12:$N$64,3,TRUE)</f>
        <v>5595</v>
      </c>
      <c r="N25" s="18">
        <f>3*VLOOKUP(N$5,Assumptions!$K$12:$N$64,3,TRUE)</f>
        <v>5595</v>
      </c>
      <c r="O25" s="18">
        <f>3*VLOOKUP(O$5,Assumptions!$K$12:$N$64,3,TRUE)</f>
        <v>6690</v>
      </c>
      <c r="P25" s="18">
        <f>3*VLOOKUP(P$5,Assumptions!$K$12:$N$64,3,TRUE)</f>
        <v>6690</v>
      </c>
      <c r="Q25" s="18">
        <f>3*VLOOKUP(Q$5,Assumptions!$K$12:$N$64,3,TRUE)</f>
        <v>8825.25</v>
      </c>
      <c r="R25" s="18">
        <f>3*VLOOKUP(R$5,Assumptions!$K$12:$N$64,3,TRUE)</f>
        <v>9865.5</v>
      </c>
      <c r="S25" s="18">
        <f>3*VLOOKUP(S$5,Assumptions!$K$12:$N$64,3,TRUE)</f>
        <v>10905.75</v>
      </c>
      <c r="T25" s="18">
        <f>3*VLOOKUP(T$5,Assumptions!$K$12:$N$64,3,TRUE)</f>
        <v>11946</v>
      </c>
      <c r="U25" s="18">
        <f>3*VLOOKUP(U$5,Assumptions!$K$12:$N$64,3,TRUE)</f>
        <v>15066.75</v>
      </c>
      <c r="V25" s="18">
        <f>3*VLOOKUP(V$5,Assumptions!$K$12:$N$64,3,TRUE)</f>
        <v>17147.25</v>
      </c>
      <c r="W25" s="18">
        <f>3*VLOOKUP(W$5,Assumptions!$K$12:$N$64,3,TRUE)</f>
        <v>19227.75</v>
      </c>
      <c r="X25" s="18">
        <f>3*VLOOKUP(X$5,Assumptions!$K$12:$N$64,3,TRUE)</f>
        <v>22348.5</v>
      </c>
    </row>
    <row r="26" spans="3:24" x14ac:dyDescent="0.25">
      <c r="C26" s="12" t="s">
        <v>67</v>
      </c>
      <c r="E26" s="18">
        <f>E25+E24</f>
        <v>4950</v>
      </c>
      <c r="F26" s="18">
        <f t="shared" ref="F26:X26" si="8">F25+F24</f>
        <v>4950</v>
      </c>
      <c r="G26" s="18">
        <f t="shared" si="8"/>
        <v>4950</v>
      </c>
      <c r="H26" s="18">
        <f t="shared" si="8"/>
        <v>6900</v>
      </c>
      <c r="I26" s="18">
        <f t="shared" si="8"/>
        <v>6900</v>
      </c>
      <c r="J26" s="18">
        <f t="shared" si="8"/>
        <v>8850</v>
      </c>
      <c r="K26" s="18">
        <f t="shared" si="8"/>
        <v>10350</v>
      </c>
      <c r="L26" s="18">
        <f t="shared" si="8"/>
        <v>10350</v>
      </c>
      <c r="M26" s="18">
        <f t="shared" si="8"/>
        <v>13395</v>
      </c>
      <c r="N26" s="18">
        <f t="shared" si="8"/>
        <v>15345</v>
      </c>
      <c r="O26" s="18">
        <f t="shared" si="8"/>
        <v>16440</v>
      </c>
      <c r="P26" s="18">
        <f t="shared" si="8"/>
        <v>18390</v>
      </c>
      <c r="Q26" s="18">
        <f t="shared" si="8"/>
        <v>22475.25</v>
      </c>
      <c r="R26" s="18">
        <f t="shared" si="8"/>
        <v>25465.5</v>
      </c>
      <c r="S26" s="18">
        <f t="shared" si="8"/>
        <v>28455.75</v>
      </c>
      <c r="T26" s="18">
        <f t="shared" si="8"/>
        <v>31446</v>
      </c>
      <c r="U26" s="18">
        <f t="shared" si="8"/>
        <v>36516.75</v>
      </c>
      <c r="V26" s="18">
        <f t="shared" si="8"/>
        <v>40547.25</v>
      </c>
      <c r="W26" s="18">
        <f t="shared" si="8"/>
        <v>44577.75</v>
      </c>
      <c r="X26" s="18">
        <f t="shared" si="8"/>
        <v>49648.5</v>
      </c>
    </row>
    <row r="27" spans="3:24" x14ac:dyDescent="0.25">
      <c r="C27" s="1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3:24" x14ac:dyDescent="0.25">
      <c r="C28" s="12" t="s">
        <v>76</v>
      </c>
      <c r="E28" s="18">
        <f>VLOOKUP(E$5,Assumptions!$K$12:$N$64,4,TRUE)</f>
        <v>199</v>
      </c>
      <c r="F28" s="18">
        <f>3*VLOOKUP(F$5,Assumptions!$K$12:$N$64,4,TRUE)</f>
        <v>597</v>
      </c>
      <c r="G28" s="18">
        <f>3*VLOOKUP(G$5,Assumptions!$K$12:$N$64,4,TRUE)</f>
        <v>597</v>
      </c>
      <c r="H28" s="18">
        <f>3*VLOOKUP(H$5,Assumptions!$K$12:$N$64,4,TRUE)</f>
        <v>597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3:24" x14ac:dyDescent="0.25">
      <c r="C29" s="12" t="s">
        <v>75</v>
      </c>
      <c r="E29" s="18">
        <f>$D$34*6*(E5/3)</f>
        <v>1485.6600000000003</v>
      </c>
      <c r="F29" s="18">
        <f>$D$34*6*((F5-E5)/3)+E29</f>
        <v>2701.2000000000007</v>
      </c>
      <c r="G29" s="18">
        <f>$D$34*6*((G5-F5)/3)+F29</f>
        <v>3601.6000000000013</v>
      </c>
      <c r="H29" s="18">
        <f>$D$34*6*((H5-G5)/3)+G29</f>
        <v>4502.0000000000009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3:24" x14ac:dyDescent="0.25">
      <c r="C30" s="12" t="s">
        <v>78</v>
      </c>
      <c r="D30" s="14">
        <f>SUM(E30:H30)</f>
        <v>14081.460000000003</v>
      </c>
      <c r="E30" s="18">
        <f>E29</f>
        <v>1485.6600000000003</v>
      </c>
      <c r="F30" s="18">
        <f>F28+F29</f>
        <v>3298.2000000000007</v>
      </c>
      <c r="G30" s="18">
        <f>G28+G29</f>
        <v>4198.6000000000013</v>
      </c>
      <c r="H30" s="18">
        <f>H28+H29</f>
        <v>5099.0000000000009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3:24" x14ac:dyDescent="0.25">
      <c r="C31" s="20" t="s">
        <v>90</v>
      </c>
      <c r="D31" s="14">
        <f>(H28+H29)*4</f>
        <v>20396.000000000004</v>
      </c>
      <c r="E31" s="18"/>
      <c r="F31" s="18"/>
      <c r="G31" s="18"/>
      <c r="H31" s="18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3:24" x14ac:dyDescent="0.25">
      <c r="E32" s="18"/>
      <c r="F32" s="18"/>
      <c r="G32" s="18"/>
      <c r="H32" s="18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24" x14ac:dyDescent="0.25">
      <c r="C33" s="12" t="s">
        <v>66</v>
      </c>
      <c r="E33" s="18"/>
      <c r="F33" s="14"/>
      <c r="G33" s="18"/>
      <c r="H33" s="18"/>
      <c r="I33" s="18">
        <f>3*VLOOKUP(I$5,Assumptions!$K$12:$N$64,4,TRUE)</f>
        <v>597</v>
      </c>
      <c r="J33" s="18">
        <f>3*VLOOKUP(J$5,Assumptions!$K$12:$N$64,4,TRUE)</f>
        <v>597</v>
      </c>
      <c r="K33" s="18">
        <f>3*VLOOKUP(K$5,Assumptions!$K$12:$N$64,4,TRUE)</f>
        <v>1194</v>
      </c>
      <c r="L33" s="18">
        <f>3*VLOOKUP(L$5,Assumptions!$K$12:$N$64,4,TRUE)</f>
        <v>1194</v>
      </c>
      <c r="M33" s="18">
        <f>3*VLOOKUP(M$5,Assumptions!$K$12:$N$64,4,TRUE)</f>
        <v>1791</v>
      </c>
      <c r="N33" s="18">
        <f>3*VLOOKUP(N$5,Assumptions!$K$12:$N$64,4,TRUE)</f>
        <v>1791</v>
      </c>
      <c r="O33" s="18">
        <f>3*VLOOKUP(O$5,Assumptions!$K$12:$N$64,4,TRUE)</f>
        <v>2388</v>
      </c>
      <c r="P33" s="18">
        <f>3*VLOOKUP(P$5,Assumptions!$K$12:$N$64,4,TRUE)</f>
        <v>2388</v>
      </c>
      <c r="Q33" s="18">
        <f>3*VLOOKUP(Q$5,Assumptions!$K$12:$N$64,4,TRUE)</f>
        <v>3552.1499999999996</v>
      </c>
      <c r="R33" s="18">
        <f>3*VLOOKUP(R$5,Assumptions!$K$12:$N$64,4,TRUE)</f>
        <v>4119.2999999999993</v>
      </c>
      <c r="S33" s="18">
        <f>3*VLOOKUP(S$5,Assumptions!$K$12:$N$64,4,TRUE)</f>
        <v>4686.4500000000007</v>
      </c>
      <c r="T33" s="18">
        <f>3*VLOOKUP(T$5,Assumptions!$K$12:$N$64,4,TRUE)</f>
        <v>5253.6</v>
      </c>
      <c r="U33" s="18">
        <f>3*VLOOKUP(U$5,Assumptions!$K$12:$N$64,4,TRUE)</f>
        <v>6955.0499999999993</v>
      </c>
      <c r="V33" s="18">
        <f>3*VLOOKUP(V$5,Assumptions!$K$12:$N$64,4,TRUE)</f>
        <v>8089.3499999999995</v>
      </c>
      <c r="W33" s="18">
        <f>3*VLOOKUP(W$5,Assumptions!$K$12:$N$64,4,TRUE)</f>
        <v>9223.6500000000015</v>
      </c>
      <c r="X33" s="18">
        <f>3*VLOOKUP(X$5,Assumptions!$K$12:$N$64,4,TRUE)</f>
        <v>10925.099999999999</v>
      </c>
    </row>
    <row r="34" spans="2:24" x14ac:dyDescent="0.25">
      <c r="C34" s="12" t="s">
        <v>68</v>
      </c>
      <c r="D34" s="8">
        <f>Assumptions!E144</f>
        <v>17.053030303030305</v>
      </c>
      <c r="E34" s="14"/>
      <c r="F34" s="14"/>
      <c r="G34" s="14"/>
      <c r="H34" s="14"/>
      <c r="I34" s="18">
        <f>$D$34*6*((I5-H5)/3)+H29</f>
        <v>5627.5000000000009</v>
      </c>
      <c r="J34" s="18">
        <f t="shared" ref="J34:X34" si="9">$D$34*6*((J5-I5)/3)+I34</f>
        <v>6753.0000000000009</v>
      </c>
      <c r="K34" s="18">
        <f t="shared" si="9"/>
        <v>7878.5000000000009</v>
      </c>
      <c r="L34" s="18">
        <f t="shared" si="9"/>
        <v>9004</v>
      </c>
      <c r="M34" s="18">
        <f t="shared" si="9"/>
        <v>10845.727272727272</v>
      </c>
      <c r="N34" s="18">
        <f t="shared" si="9"/>
        <v>12687.454545454544</v>
      </c>
      <c r="O34" s="18">
        <f t="shared" si="9"/>
        <v>14529.181818181816</v>
      </c>
      <c r="P34" s="18">
        <f t="shared" si="9"/>
        <v>16370.909090909088</v>
      </c>
      <c r="Q34" s="18">
        <f t="shared" si="9"/>
        <v>20463.63636363636</v>
      </c>
      <c r="R34" s="18">
        <f t="shared" si="9"/>
        <v>24556.363636363632</v>
      </c>
      <c r="S34" s="18">
        <f t="shared" si="9"/>
        <v>28649.090909090904</v>
      </c>
      <c r="T34" s="18">
        <f t="shared" si="9"/>
        <v>32741.818181818177</v>
      </c>
      <c r="U34" s="18">
        <f t="shared" si="9"/>
        <v>40927.272727272721</v>
      </c>
      <c r="V34" s="18">
        <f t="shared" si="9"/>
        <v>49112.727272727265</v>
      </c>
      <c r="W34" s="18">
        <f t="shared" si="9"/>
        <v>57298.181818181809</v>
      </c>
      <c r="X34" s="18">
        <f t="shared" si="9"/>
        <v>65483.636363636353</v>
      </c>
    </row>
    <row r="35" spans="2:24" x14ac:dyDescent="0.25">
      <c r="C35" s="12" t="s">
        <v>69</v>
      </c>
      <c r="E35" s="14">
        <f>E30</f>
        <v>1485.6600000000003</v>
      </c>
      <c r="F35" s="14">
        <f t="shared" ref="F35:H35" si="10">F30</f>
        <v>3298.2000000000007</v>
      </c>
      <c r="G35" s="14">
        <f t="shared" si="10"/>
        <v>4198.6000000000013</v>
      </c>
      <c r="H35" s="14">
        <f t="shared" si="10"/>
        <v>5099.0000000000009</v>
      </c>
      <c r="I35" s="18">
        <f t="shared" ref="I35:X35" si="11">I33+I34</f>
        <v>6224.5000000000009</v>
      </c>
      <c r="J35" s="18">
        <f t="shared" si="11"/>
        <v>7350.0000000000009</v>
      </c>
      <c r="K35" s="18">
        <f t="shared" si="11"/>
        <v>9072.5</v>
      </c>
      <c r="L35" s="18">
        <f t="shared" si="11"/>
        <v>10198</v>
      </c>
      <c r="M35" s="18">
        <f t="shared" si="11"/>
        <v>12636.727272727272</v>
      </c>
      <c r="N35" s="18">
        <f t="shared" si="11"/>
        <v>14478.454545454544</v>
      </c>
      <c r="O35" s="18">
        <f t="shared" si="11"/>
        <v>16917.181818181816</v>
      </c>
      <c r="P35" s="18">
        <f t="shared" si="11"/>
        <v>18758.909090909088</v>
      </c>
      <c r="Q35" s="18">
        <f t="shared" si="11"/>
        <v>24015.786363636362</v>
      </c>
      <c r="R35" s="18">
        <f t="shared" si="11"/>
        <v>28675.663636363632</v>
      </c>
      <c r="S35" s="18">
        <f t="shared" si="11"/>
        <v>33335.540909090909</v>
      </c>
      <c r="T35" s="18">
        <f t="shared" si="11"/>
        <v>37995.418181818175</v>
      </c>
      <c r="U35" s="18">
        <f t="shared" si="11"/>
        <v>47882.322727272724</v>
      </c>
      <c r="V35" s="18">
        <f t="shared" si="11"/>
        <v>57202.077272727263</v>
      </c>
      <c r="W35" s="18">
        <f t="shared" si="11"/>
        <v>66521.831818181818</v>
      </c>
      <c r="X35" s="18">
        <f t="shared" si="11"/>
        <v>76408.736363636359</v>
      </c>
    </row>
    <row r="36" spans="2:24" x14ac:dyDescent="0.25">
      <c r="E36" s="18"/>
      <c r="F36" s="18"/>
      <c r="G36" s="18"/>
      <c r="H36" s="18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2:24" x14ac:dyDescent="0.25">
      <c r="E37" s="18"/>
      <c r="F37" s="18"/>
      <c r="G37" s="18"/>
      <c r="H37" s="18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2:24" x14ac:dyDescent="0.25">
      <c r="C38" s="12" t="s">
        <v>55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2:24" x14ac:dyDescent="0.25">
      <c r="C39" s="12" t="s">
        <v>57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2:24" x14ac:dyDescent="0.25">
      <c r="C40" s="12" t="s">
        <v>77</v>
      </c>
      <c r="D40">
        <v>1</v>
      </c>
      <c r="E40" s="14">
        <f>E13/Assumptions!$I$21</f>
        <v>1440.9912109375</v>
      </c>
      <c r="F40" s="14">
        <f>E40</f>
        <v>1440.9912109375</v>
      </c>
      <c r="G40" s="14">
        <f t="shared" ref="G40:T40" si="12">F40</f>
        <v>1440.9912109375</v>
      </c>
      <c r="H40" s="14">
        <f t="shared" si="12"/>
        <v>1440.9912109375</v>
      </c>
      <c r="I40" s="14">
        <f t="shared" si="12"/>
        <v>1440.9912109375</v>
      </c>
      <c r="J40" s="14">
        <f t="shared" si="12"/>
        <v>1440.9912109375</v>
      </c>
      <c r="K40" s="14">
        <f t="shared" si="12"/>
        <v>1440.9912109375</v>
      </c>
      <c r="L40" s="14">
        <f t="shared" si="12"/>
        <v>1440.9912109375</v>
      </c>
      <c r="M40" s="14">
        <f t="shared" si="12"/>
        <v>1440.9912109375</v>
      </c>
      <c r="N40" s="14">
        <f t="shared" si="12"/>
        <v>1440.9912109375</v>
      </c>
      <c r="O40" s="14">
        <f t="shared" si="12"/>
        <v>1440.9912109375</v>
      </c>
      <c r="P40" s="14">
        <f t="shared" si="12"/>
        <v>1440.9912109375</v>
      </c>
      <c r="Q40" s="14">
        <f t="shared" si="12"/>
        <v>1440.9912109375</v>
      </c>
      <c r="R40" s="14">
        <f t="shared" si="12"/>
        <v>1440.9912109375</v>
      </c>
      <c r="S40" s="14">
        <f t="shared" si="12"/>
        <v>1440.9912109375</v>
      </c>
      <c r="T40" s="14">
        <f t="shared" si="12"/>
        <v>1440.9912109375</v>
      </c>
      <c r="U40" s="14"/>
      <c r="V40" s="14"/>
      <c r="W40" s="14"/>
    </row>
    <row r="41" spans="2:24" x14ac:dyDescent="0.25">
      <c r="D41">
        <v>2</v>
      </c>
      <c r="E41" s="14"/>
      <c r="F41" s="14">
        <f>HLOOKUP($D41,TLC,10,TRUE)/Assumptions!$I$21</f>
        <v>0</v>
      </c>
      <c r="G41" s="14">
        <f>F41</f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/>
      <c r="W41" s="14"/>
    </row>
    <row r="42" spans="2:24" x14ac:dyDescent="0.25">
      <c r="D42">
        <v>3</v>
      </c>
      <c r="E42" s="14"/>
      <c r="F42" s="14"/>
      <c r="G42" s="14">
        <f>HLOOKUP($D42,TLC,10,TRUE)/Assumptions!$I$21</f>
        <v>0</v>
      </c>
      <c r="H42" s="14">
        <f>G42</f>
        <v>0</v>
      </c>
      <c r="I42" s="14">
        <f t="shared" ref="I42:U42" si="13">H42</f>
        <v>0</v>
      </c>
      <c r="J42" s="14">
        <f t="shared" si="13"/>
        <v>0</v>
      </c>
      <c r="K42" s="14">
        <f t="shared" si="13"/>
        <v>0</v>
      </c>
      <c r="L42" s="14">
        <f t="shared" si="13"/>
        <v>0</v>
      </c>
      <c r="M42" s="14">
        <f t="shared" si="13"/>
        <v>0</v>
      </c>
      <c r="N42" s="14">
        <f t="shared" si="13"/>
        <v>0</v>
      </c>
      <c r="O42" s="14">
        <f t="shared" si="13"/>
        <v>0</v>
      </c>
      <c r="P42" s="14">
        <f t="shared" si="13"/>
        <v>0</v>
      </c>
      <c r="Q42" s="14">
        <f t="shared" si="13"/>
        <v>0</v>
      </c>
      <c r="R42" s="14">
        <f t="shared" si="13"/>
        <v>0</v>
      </c>
      <c r="S42" s="14">
        <f t="shared" si="13"/>
        <v>0</v>
      </c>
      <c r="T42" s="14">
        <f t="shared" si="13"/>
        <v>0</v>
      </c>
      <c r="U42" s="14">
        <f t="shared" si="13"/>
        <v>0</v>
      </c>
      <c r="V42" s="14">
        <v>0</v>
      </c>
      <c r="W42" s="14"/>
    </row>
    <row r="43" spans="2:24" x14ac:dyDescent="0.25">
      <c r="B43" s="14"/>
      <c r="D43">
        <v>4</v>
      </c>
      <c r="E43" s="14"/>
      <c r="F43" s="14"/>
      <c r="G43" s="14"/>
      <c r="H43" s="14">
        <f>HLOOKUP($D43,TLC,10,TRUE)/Assumptions!$I$21</f>
        <v>461.2548828125</v>
      </c>
      <c r="I43" s="14">
        <f>H43</f>
        <v>461.2548828125</v>
      </c>
      <c r="J43" s="14">
        <f t="shared" ref="J43:W43" si="14">I43</f>
        <v>461.2548828125</v>
      </c>
      <c r="K43" s="14">
        <f t="shared" si="14"/>
        <v>461.2548828125</v>
      </c>
      <c r="L43" s="14">
        <f t="shared" si="14"/>
        <v>461.2548828125</v>
      </c>
      <c r="M43" s="14">
        <f t="shared" si="14"/>
        <v>461.2548828125</v>
      </c>
      <c r="N43" s="14">
        <f t="shared" si="14"/>
        <v>461.2548828125</v>
      </c>
      <c r="O43" s="14">
        <f t="shared" si="14"/>
        <v>461.2548828125</v>
      </c>
      <c r="P43" s="14">
        <f t="shared" si="14"/>
        <v>461.2548828125</v>
      </c>
      <c r="Q43" s="14">
        <f t="shared" si="14"/>
        <v>461.2548828125</v>
      </c>
      <c r="R43" s="14">
        <f t="shared" si="14"/>
        <v>461.2548828125</v>
      </c>
      <c r="S43" s="14">
        <f t="shared" si="14"/>
        <v>461.2548828125</v>
      </c>
      <c r="T43" s="14">
        <f t="shared" si="14"/>
        <v>461.2548828125</v>
      </c>
      <c r="U43" s="14">
        <f t="shared" si="14"/>
        <v>461.2548828125</v>
      </c>
      <c r="V43" s="14">
        <f t="shared" si="14"/>
        <v>461.2548828125</v>
      </c>
      <c r="W43" s="14">
        <f t="shared" si="14"/>
        <v>461.2548828125</v>
      </c>
    </row>
    <row r="44" spans="2:24" x14ac:dyDescent="0.25">
      <c r="D44">
        <v>5</v>
      </c>
      <c r="E44" s="14"/>
      <c r="F44" s="14"/>
      <c r="G44" s="14"/>
      <c r="H44" s="14"/>
      <c r="I44" s="14">
        <f>HLOOKUP($D44,TLC,10,TRUE)/Assumptions!$I$21</f>
        <v>0</v>
      </c>
      <c r="J44" s="14">
        <f>I44</f>
        <v>0</v>
      </c>
      <c r="K44" s="14">
        <f t="shared" ref="K44:X44" si="15">J44</f>
        <v>0</v>
      </c>
      <c r="L44" s="14">
        <f t="shared" si="15"/>
        <v>0</v>
      </c>
      <c r="M44" s="14">
        <f t="shared" si="15"/>
        <v>0</v>
      </c>
      <c r="N44" s="14">
        <f t="shared" si="15"/>
        <v>0</v>
      </c>
      <c r="O44" s="14">
        <f t="shared" si="15"/>
        <v>0</v>
      </c>
      <c r="P44" s="14">
        <f t="shared" si="15"/>
        <v>0</v>
      </c>
      <c r="Q44" s="14">
        <f t="shared" si="15"/>
        <v>0</v>
      </c>
      <c r="R44" s="14">
        <f t="shared" si="15"/>
        <v>0</v>
      </c>
      <c r="S44" s="14">
        <f t="shared" si="15"/>
        <v>0</v>
      </c>
      <c r="T44" s="14">
        <f t="shared" si="15"/>
        <v>0</v>
      </c>
      <c r="U44" s="14">
        <f t="shared" si="15"/>
        <v>0</v>
      </c>
      <c r="V44" s="14">
        <f t="shared" si="15"/>
        <v>0</v>
      </c>
      <c r="W44" s="14">
        <f t="shared" si="15"/>
        <v>0</v>
      </c>
      <c r="X44" s="14">
        <f t="shared" si="15"/>
        <v>0</v>
      </c>
    </row>
    <row r="45" spans="2:24" x14ac:dyDescent="0.25">
      <c r="D45">
        <v>6</v>
      </c>
      <c r="E45" s="14"/>
      <c r="F45" s="14"/>
      <c r="G45" s="14"/>
      <c r="H45" s="14"/>
      <c r="I45" s="14"/>
      <c r="J45" s="14">
        <f>HLOOKUP($D45,TLC,10,TRUE)/Assumptions!$I$21</f>
        <v>1440.9912109375</v>
      </c>
      <c r="K45" s="14">
        <f>J45</f>
        <v>1440.9912109375</v>
      </c>
      <c r="L45" s="14">
        <f t="shared" ref="L45:X45" si="16">K45</f>
        <v>1440.9912109375</v>
      </c>
      <c r="M45" s="14">
        <f t="shared" si="16"/>
        <v>1440.9912109375</v>
      </c>
      <c r="N45" s="14">
        <f t="shared" si="16"/>
        <v>1440.9912109375</v>
      </c>
      <c r="O45" s="14">
        <f t="shared" si="16"/>
        <v>1440.9912109375</v>
      </c>
      <c r="P45" s="14">
        <f t="shared" si="16"/>
        <v>1440.9912109375</v>
      </c>
      <c r="Q45" s="14">
        <f t="shared" si="16"/>
        <v>1440.9912109375</v>
      </c>
      <c r="R45" s="14">
        <f t="shared" si="16"/>
        <v>1440.9912109375</v>
      </c>
      <c r="S45" s="14">
        <f t="shared" si="16"/>
        <v>1440.9912109375</v>
      </c>
      <c r="T45" s="14">
        <f t="shared" si="16"/>
        <v>1440.9912109375</v>
      </c>
      <c r="U45" s="14">
        <f t="shared" si="16"/>
        <v>1440.9912109375</v>
      </c>
      <c r="V45" s="14">
        <f t="shared" si="16"/>
        <v>1440.9912109375</v>
      </c>
      <c r="W45" s="14">
        <f t="shared" si="16"/>
        <v>1440.9912109375</v>
      </c>
      <c r="X45" s="14">
        <f t="shared" si="16"/>
        <v>1440.9912109375</v>
      </c>
    </row>
    <row r="46" spans="2:24" x14ac:dyDescent="0.25">
      <c r="D46">
        <v>7</v>
      </c>
      <c r="E46" s="14"/>
      <c r="F46" s="14"/>
      <c r="G46" s="14"/>
      <c r="H46" s="14"/>
      <c r="I46" s="14"/>
      <c r="J46" s="14"/>
      <c r="K46" s="14">
        <f>HLOOKUP($D46,TLC,10,TRUE)/Assumptions!$I$21</f>
        <v>0</v>
      </c>
      <c r="L46" s="14">
        <f>K46</f>
        <v>0</v>
      </c>
      <c r="M46" s="14">
        <f t="shared" ref="M46:X46" si="17">L46</f>
        <v>0</v>
      </c>
      <c r="N46" s="14">
        <f t="shared" si="17"/>
        <v>0</v>
      </c>
      <c r="O46" s="14">
        <f t="shared" si="17"/>
        <v>0</v>
      </c>
      <c r="P46" s="14">
        <f t="shared" si="17"/>
        <v>0</v>
      </c>
      <c r="Q46" s="14">
        <f t="shared" si="17"/>
        <v>0</v>
      </c>
      <c r="R46" s="14">
        <f t="shared" si="17"/>
        <v>0</v>
      </c>
      <c r="S46" s="14">
        <f t="shared" si="17"/>
        <v>0</v>
      </c>
      <c r="T46" s="14">
        <f t="shared" si="17"/>
        <v>0</v>
      </c>
      <c r="U46" s="14">
        <f t="shared" si="17"/>
        <v>0</v>
      </c>
      <c r="V46" s="14">
        <f t="shared" si="17"/>
        <v>0</v>
      </c>
      <c r="W46" s="14">
        <f t="shared" si="17"/>
        <v>0</v>
      </c>
      <c r="X46" s="14">
        <f t="shared" si="17"/>
        <v>0</v>
      </c>
    </row>
    <row r="47" spans="2:24" x14ac:dyDescent="0.25">
      <c r="D47">
        <v>8</v>
      </c>
      <c r="E47" s="14"/>
      <c r="F47" s="14"/>
      <c r="G47" s="14"/>
      <c r="H47" s="14"/>
      <c r="I47" s="14"/>
      <c r="J47" s="14"/>
      <c r="K47" s="14"/>
      <c r="L47" s="14">
        <f>HLOOKUP($D47,TLC,10,TRUE)/Assumptions!$I$21</f>
        <v>0</v>
      </c>
      <c r="M47" s="14">
        <f>L47</f>
        <v>0</v>
      </c>
      <c r="N47" s="14">
        <f t="shared" ref="N47:X57" si="18">M47</f>
        <v>0</v>
      </c>
      <c r="O47" s="14">
        <f t="shared" si="18"/>
        <v>0</v>
      </c>
      <c r="P47" s="14">
        <f t="shared" si="18"/>
        <v>0</v>
      </c>
      <c r="Q47" s="14">
        <f t="shared" si="18"/>
        <v>0</v>
      </c>
      <c r="R47" s="14">
        <f t="shared" si="18"/>
        <v>0</v>
      </c>
      <c r="S47" s="14">
        <f t="shared" si="18"/>
        <v>0</v>
      </c>
      <c r="T47" s="14">
        <f t="shared" si="18"/>
        <v>0</v>
      </c>
      <c r="U47" s="14">
        <f t="shared" si="18"/>
        <v>0</v>
      </c>
      <c r="V47" s="14">
        <f t="shared" si="18"/>
        <v>0</v>
      </c>
      <c r="W47" s="14">
        <f t="shared" si="18"/>
        <v>0</v>
      </c>
      <c r="X47" s="14">
        <f t="shared" si="18"/>
        <v>0</v>
      </c>
    </row>
    <row r="48" spans="2:24" x14ac:dyDescent="0.25">
      <c r="D48">
        <v>9</v>
      </c>
      <c r="E48" s="14"/>
      <c r="F48" s="14"/>
      <c r="G48" s="14"/>
      <c r="H48" s="14"/>
      <c r="I48" s="14"/>
      <c r="J48" s="14"/>
      <c r="K48" s="14"/>
      <c r="L48" s="14"/>
      <c r="M48" s="14">
        <f>HLOOKUP($D48,TLC,10,TRUE)/Assumptions!$I$21</f>
        <v>461.2548828125</v>
      </c>
      <c r="N48" s="14">
        <f>M48</f>
        <v>461.2548828125</v>
      </c>
      <c r="O48" s="14">
        <f t="shared" si="18"/>
        <v>461.2548828125</v>
      </c>
      <c r="P48" s="14">
        <f t="shared" si="18"/>
        <v>461.2548828125</v>
      </c>
      <c r="Q48" s="14">
        <f t="shared" si="18"/>
        <v>461.2548828125</v>
      </c>
      <c r="R48" s="14">
        <f t="shared" si="18"/>
        <v>461.2548828125</v>
      </c>
      <c r="S48" s="14">
        <f t="shared" si="18"/>
        <v>461.2548828125</v>
      </c>
      <c r="T48" s="14">
        <f t="shared" si="18"/>
        <v>461.2548828125</v>
      </c>
      <c r="U48" s="14">
        <f t="shared" si="18"/>
        <v>461.2548828125</v>
      </c>
      <c r="V48" s="14">
        <f t="shared" si="18"/>
        <v>461.2548828125</v>
      </c>
      <c r="W48" s="14">
        <f t="shared" si="18"/>
        <v>461.2548828125</v>
      </c>
      <c r="X48" s="14">
        <f t="shared" si="18"/>
        <v>461.2548828125</v>
      </c>
    </row>
    <row r="49" spans="3:24" x14ac:dyDescent="0.25">
      <c r="D49">
        <v>10</v>
      </c>
      <c r="E49" s="14"/>
      <c r="F49" s="14"/>
      <c r="G49" s="14"/>
      <c r="H49" s="14"/>
      <c r="I49" s="14"/>
      <c r="J49" s="14"/>
      <c r="K49" s="14"/>
      <c r="L49" s="14"/>
      <c r="M49" s="14"/>
      <c r="N49" s="14">
        <f>HLOOKUP($D49,TLC,10,TRUE)/Assumptions!$I$21</f>
        <v>1440.9912109375</v>
      </c>
      <c r="O49" s="14">
        <f>N49</f>
        <v>1440.9912109375</v>
      </c>
      <c r="P49" s="14">
        <f t="shared" si="18"/>
        <v>1440.9912109375</v>
      </c>
      <c r="Q49" s="14">
        <f t="shared" si="18"/>
        <v>1440.9912109375</v>
      </c>
      <c r="R49" s="14">
        <f t="shared" si="18"/>
        <v>1440.9912109375</v>
      </c>
      <c r="S49" s="14">
        <f t="shared" si="18"/>
        <v>1440.9912109375</v>
      </c>
      <c r="T49" s="14">
        <f t="shared" si="18"/>
        <v>1440.9912109375</v>
      </c>
      <c r="U49" s="14">
        <f t="shared" si="18"/>
        <v>1440.9912109375</v>
      </c>
      <c r="V49" s="14">
        <f t="shared" si="18"/>
        <v>1440.9912109375</v>
      </c>
      <c r="W49" s="14">
        <f t="shared" si="18"/>
        <v>1440.9912109375</v>
      </c>
      <c r="X49" s="14">
        <f t="shared" si="18"/>
        <v>1440.9912109375</v>
      </c>
    </row>
    <row r="50" spans="3:24" x14ac:dyDescent="0.25">
      <c r="D50">
        <v>11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>
        <f>HLOOKUP($D50,TLC,10,TRUE)/Assumptions!$I$21</f>
        <v>0</v>
      </c>
      <c r="P50" s="14">
        <f>O50</f>
        <v>0</v>
      </c>
      <c r="Q50" s="14">
        <f t="shared" si="18"/>
        <v>0</v>
      </c>
      <c r="R50" s="14">
        <f t="shared" si="18"/>
        <v>0</v>
      </c>
      <c r="S50" s="14">
        <f t="shared" si="18"/>
        <v>0</v>
      </c>
      <c r="T50" s="14">
        <f t="shared" si="18"/>
        <v>0</v>
      </c>
      <c r="U50" s="14">
        <f t="shared" si="18"/>
        <v>0</v>
      </c>
      <c r="V50" s="14">
        <f t="shared" si="18"/>
        <v>0</v>
      </c>
      <c r="W50" s="14">
        <f t="shared" si="18"/>
        <v>0</v>
      </c>
      <c r="X50" s="14">
        <f t="shared" si="18"/>
        <v>0</v>
      </c>
    </row>
    <row r="51" spans="3:24" x14ac:dyDescent="0.25">
      <c r="D51">
        <v>12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>
        <f>HLOOKUP($D51,TLC,10,TRUE)/Assumptions!$I$21</f>
        <v>461.2548828125</v>
      </c>
      <c r="Q51" s="14">
        <f>P51</f>
        <v>461.2548828125</v>
      </c>
      <c r="R51" s="14">
        <f t="shared" si="18"/>
        <v>461.2548828125</v>
      </c>
      <c r="S51" s="14">
        <f t="shared" si="18"/>
        <v>461.2548828125</v>
      </c>
      <c r="T51" s="14">
        <f t="shared" si="18"/>
        <v>461.2548828125</v>
      </c>
      <c r="U51" s="14">
        <f t="shared" si="18"/>
        <v>461.2548828125</v>
      </c>
      <c r="V51" s="14">
        <f t="shared" si="18"/>
        <v>461.2548828125</v>
      </c>
      <c r="W51" s="14">
        <f t="shared" si="18"/>
        <v>461.2548828125</v>
      </c>
      <c r="X51" s="14">
        <f t="shared" si="18"/>
        <v>461.2548828125</v>
      </c>
    </row>
    <row r="52" spans="3:24" x14ac:dyDescent="0.25">
      <c r="D52">
        <v>13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>
        <f>HLOOKUP($D52,TLC,10,TRUE)/Assumptions!$I$21</f>
        <v>1440.9912109375</v>
      </c>
      <c r="R52" s="14">
        <f>Q52</f>
        <v>1440.9912109375</v>
      </c>
      <c r="S52" s="14">
        <f t="shared" si="18"/>
        <v>1440.9912109375</v>
      </c>
      <c r="T52" s="14">
        <f t="shared" si="18"/>
        <v>1440.9912109375</v>
      </c>
      <c r="U52" s="14">
        <f t="shared" si="18"/>
        <v>1440.9912109375</v>
      </c>
      <c r="V52" s="14">
        <f t="shared" si="18"/>
        <v>1440.9912109375</v>
      </c>
      <c r="W52" s="14">
        <f t="shared" si="18"/>
        <v>1440.9912109375</v>
      </c>
      <c r="X52" s="14">
        <f t="shared" si="18"/>
        <v>1440.9912109375</v>
      </c>
    </row>
    <row r="53" spans="3:24" x14ac:dyDescent="0.25">
      <c r="D53">
        <v>14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>
        <f>HLOOKUP($D53,TLC,10,TRUE)/Assumptions!$I$21</f>
        <v>461.2548828125</v>
      </c>
      <c r="S53" s="14">
        <f>R53</f>
        <v>461.2548828125</v>
      </c>
      <c r="T53" s="14">
        <f t="shared" si="18"/>
        <v>461.2548828125</v>
      </c>
      <c r="U53" s="14">
        <f t="shared" si="18"/>
        <v>461.2548828125</v>
      </c>
      <c r="V53" s="14">
        <f t="shared" si="18"/>
        <v>461.2548828125</v>
      </c>
      <c r="W53" s="14">
        <f t="shared" si="18"/>
        <v>461.2548828125</v>
      </c>
      <c r="X53" s="14">
        <f t="shared" si="18"/>
        <v>461.2548828125</v>
      </c>
    </row>
    <row r="54" spans="3:24" x14ac:dyDescent="0.25">
      <c r="D54">
        <v>15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>
        <f>HLOOKUP($D54,TLC,10,TRUE)/Assumptions!$I$21</f>
        <v>1440.9912109375</v>
      </c>
      <c r="T54" s="14">
        <f>S54</f>
        <v>1440.9912109375</v>
      </c>
      <c r="U54" s="14">
        <f t="shared" si="18"/>
        <v>1440.9912109375</v>
      </c>
      <c r="V54" s="14">
        <f t="shared" si="18"/>
        <v>1440.9912109375</v>
      </c>
      <c r="W54" s="14">
        <f t="shared" si="18"/>
        <v>1440.9912109375</v>
      </c>
      <c r="X54" s="14">
        <f t="shared" si="18"/>
        <v>1440.9912109375</v>
      </c>
    </row>
    <row r="55" spans="3:24" x14ac:dyDescent="0.25">
      <c r="D55">
        <v>16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>
        <f>HLOOKUP($D55,TLC,10,TRUE)/Assumptions!$I$21</f>
        <v>461.2548828125</v>
      </c>
      <c r="U55" s="14">
        <f>T55</f>
        <v>461.2548828125</v>
      </c>
      <c r="V55" s="14">
        <f t="shared" si="18"/>
        <v>461.2548828125</v>
      </c>
      <c r="W55" s="14">
        <f t="shared" si="18"/>
        <v>461.2548828125</v>
      </c>
      <c r="X55" s="14">
        <f t="shared" si="18"/>
        <v>461.2548828125</v>
      </c>
    </row>
    <row r="56" spans="3:24" x14ac:dyDescent="0.25">
      <c r="D56">
        <v>17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>
        <f>HLOOKUP($D56,TLC,10,TRUE)/Assumptions!$I$21</f>
        <v>1440.9912109375</v>
      </c>
      <c r="V56" s="14">
        <f>U56</f>
        <v>1440.9912109375</v>
      </c>
      <c r="W56" s="14">
        <f t="shared" si="18"/>
        <v>1440.9912109375</v>
      </c>
      <c r="X56" s="14">
        <f t="shared" si="18"/>
        <v>1440.9912109375</v>
      </c>
    </row>
    <row r="57" spans="3:24" x14ac:dyDescent="0.25">
      <c r="D57">
        <v>18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>
        <f>HLOOKUP($D57,TLC,10,TRUE)/Assumptions!$I$21</f>
        <v>461.2548828125</v>
      </c>
      <c r="W57" s="14">
        <f>V57</f>
        <v>461.2548828125</v>
      </c>
      <c r="X57" s="14">
        <f t="shared" si="18"/>
        <v>461.2548828125</v>
      </c>
    </row>
    <row r="58" spans="3:24" x14ac:dyDescent="0.25">
      <c r="D58">
        <v>19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>
        <f>HLOOKUP($D58,TLC,10,TRUE)/Assumptions!$I$21</f>
        <v>1440.9912109375</v>
      </c>
      <c r="X58" s="14">
        <f>W58</f>
        <v>1440.9912109375</v>
      </c>
    </row>
    <row r="59" spans="3:24" x14ac:dyDescent="0.25">
      <c r="D59">
        <v>20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f>HLOOKUP($D59,TLC,10,TRUE)/Assumptions!$I$21</f>
        <v>461.2548828125</v>
      </c>
    </row>
    <row r="60" spans="3:24" x14ac:dyDescent="0.25"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3:24" x14ac:dyDescent="0.25"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3:24" x14ac:dyDescent="0.25">
      <c r="C62" s="12" t="s">
        <v>58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3:24" x14ac:dyDescent="0.25">
      <c r="C63" s="12" t="s">
        <v>57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3:24" x14ac:dyDescent="0.25">
      <c r="D64">
        <v>1</v>
      </c>
      <c r="E64" s="14">
        <f>E$17*Assumptions!$F186/Assumptions!$I$21</f>
        <v>204.68238044507578</v>
      </c>
      <c r="F64" s="14">
        <f>E64</f>
        <v>204.68238044507578</v>
      </c>
      <c r="G64" s="14">
        <f t="shared" ref="G64:V68" si="19">F64</f>
        <v>204.68238044507578</v>
      </c>
      <c r="H64" s="14">
        <f t="shared" si="19"/>
        <v>204.68238044507578</v>
      </c>
      <c r="I64" s="14">
        <f>H64</f>
        <v>204.68238044507578</v>
      </c>
      <c r="J64" s="14">
        <f t="shared" si="19"/>
        <v>204.68238044507578</v>
      </c>
      <c r="K64" s="14">
        <f t="shared" si="19"/>
        <v>204.68238044507578</v>
      </c>
      <c r="L64" s="14">
        <f t="shared" si="19"/>
        <v>204.68238044507578</v>
      </c>
      <c r="M64" s="14">
        <f t="shared" si="19"/>
        <v>204.68238044507578</v>
      </c>
      <c r="N64" s="14">
        <f t="shared" si="19"/>
        <v>204.68238044507578</v>
      </c>
      <c r="O64" s="14">
        <f t="shared" si="19"/>
        <v>204.68238044507578</v>
      </c>
      <c r="P64" s="14">
        <f t="shared" si="19"/>
        <v>204.68238044507578</v>
      </c>
      <c r="Q64" s="14">
        <f t="shared" si="19"/>
        <v>204.68238044507578</v>
      </c>
      <c r="R64" s="14">
        <f t="shared" si="19"/>
        <v>204.68238044507578</v>
      </c>
      <c r="S64" s="14">
        <f t="shared" si="19"/>
        <v>204.68238044507578</v>
      </c>
      <c r="T64" s="14">
        <f t="shared" si="19"/>
        <v>204.68238044507578</v>
      </c>
      <c r="U64" s="14"/>
      <c r="V64" s="14"/>
      <c r="W64" s="14"/>
    </row>
    <row r="65" spans="4:24" x14ac:dyDescent="0.25">
      <c r="D65">
        <v>2</v>
      </c>
      <c r="E65" s="14"/>
      <c r="F65" s="14">
        <f>F$17*Assumptions!$F186/Assumptions!$I$21</f>
        <v>309.6298828125</v>
      </c>
      <c r="G65" s="14">
        <f>F65</f>
        <v>309.6298828125</v>
      </c>
      <c r="H65" s="14">
        <f t="shared" si="19"/>
        <v>309.6298828125</v>
      </c>
      <c r="I65" s="14">
        <f t="shared" si="19"/>
        <v>309.6298828125</v>
      </c>
      <c r="J65" s="14">
        <f t="shared" si="19"/>
        <v>309.6298828125</v>
      </c>
      <c r="K65" s="14">
        <f t="shared" si="19"/>
        <v>309.6298828125</v>
      </c>
      <c r="L65" s="14">
        <f t="shared" si="19"/>
        <v>309.6298828125</v>
      </c>
      <c r="M65" s="14">
        <f t="shared" si="19"/>
        <v>309.6298828125</v>
      </c>
      <c r="N65" s="14">
        <f t="shared" si="19"/>
        <v>309.6298828125</v>
      </c>
      <c r="O65" s="14">
        <f t="shared" si="19"/>
        <v>309.6298828125</v>
      </c>
      <c r="P65" s="14">
        <f t="shared" si="19"/>
        <v>309.6298828125</v>
      </c>
      <c r="Q65" s="14">
        <f t="shared" si="19"/>
        <v>309.6298828125</v>
      </c>
      <c r="R65" s="14">
        <f t="shared" si="19"/>
        <v>309.6298828125</v>
      </c>
      <c r="S65" s="14">
        <f t="shared" si="19"/>
        <v>309.6298828125</v>
      </c>
      <c r="T65" s="14">
        <f t="shared" si="19"/>
        <v>309.6298828125</v>
      </c>
      <c r="U65" s="14">
        <f t="shared" si="19"/>
        <v>309.6298828125</v>
      </c>
      <c r="V65" s="14"/>
      <c r="W65" s="14"/>
    </row>
    <row r="66" spans="4:24" x14ac:dyDescent="0.25">
      <c r="D66">
        <v>3</v>
      </c>
      <c r="E66" s="14"/>
      <c r="F66" s="14"/>
      <c r="G66" s="14">
        <f>G$17*Assumptions!$F186/Assumptions!$I$21</f>
        <v>229.35546875000009</v>
      </c>
      <c r="H66" s="14">
        <f>G66</f>
        <v>229.35546875000009</v>
      </c>
      <c r="I66" s="14">
        <f t="shared" si="19"/>
        <v>229.35546875000009</v>
      </c>
      <c r="J66" s="14">
        <f t="shared" si="19"/>
        <v>229.35546875000009</v>
      </c>
      <c r="K66" s="14">
        <f t="shared" si="19"/>
        <v>229.35546875000009</v>
      </c>
      <c r="L66" s="14">
        <f t="shared" si="19"/>
        <v>229.35546875000009</v>
      </c>
      <c r="M66" s="14">
        <f t="shared" si="19"/>
        <v>229.35546875000009</v>
      </c>
      <c r="N66" s="14">
        <f t="shared" si="19"/>
        <v>229.35546875000009</v>
      </c>
      <c r="O66" s="14">
        <f t="shared" si="19"/>
        <v>229.35546875000009</v>
      </c>
      <c r="P66" s="14">
        <f t="shared" si="19"/>
        <v>229.35546875000009</v>
      </c>
      <c r="Q66" s="14">
        <f t="shared" si="19"/>
        <v>229.35546875000009</v>
      </c>
      <c r="R66" s="14">
        <f t="shared" si="19"/>
        <v>229.35546875000009</v>
      </c>
      <c r="S66" s="14">
        <f t="shared" si="19"/>
        <v>229.35546875000009</v>
      </c>
      <c r="T66" s="14">
        <f t="shared" si="19"/>
        <v>229.35546875000009</v>
      </c>
      <c r="U66" s="14">
        <f t="shared" si="19"/>
        <v>229.35546875000009</v>
      </c>
      <c r="V66" s="14">
        <f t="shared" si="19"/>
        <v>229.35546875000009</v>
      </c>
      <c r="W66" s="14"/>
    </row>
    <row r="67" spans="4:24" x14ac:dyDescent="0.25">
      <c r="D67">
        <v>4</v>
      </c>
      <c r="E67" s="14"/>
      <c r="F67" s="14"/>
      <c r="G67" s="14"/>
      <c r="H67" s="14">
        <f>H$17*Assumptions!$F186/Assumptions!$I$21</f>
        <v>229.35546874999994</v>
      </c>
      <c r="I67" s="14">
        <f>H67</f>
        <v>229.35546874999994</v>
      </c>
      <c r="J67" s="14">
        <f t="shared" si="19"/>
        <v>229.35546874999994</v>
      </c>
      <c r="K67" s="14">
        <f t="shared" si="19"/>
        <v>229.35546874999994</v>
      </c>
      <c r="L67" s="14">
        <f t="shared" si="19"/>
        <v>229.35546874999994</v>
      </c>
      <c r="M67" s="14">
        <f t="shared" si="19"/>
        <v>229.35546874999994</v>
      </c>
      <c r="N67" s="14">
        <f t="shared" si="19"/>
        <v>229.35546874999994</v>
      </c>
      <c r="O67" s="14">
        <f t="shared" si="19"/>
        <v>229.35546874999994</v>
      </c>
      <c r="P67" s="14">
        <f t="shared" si="19"/>
        <v>229.35546874999994</v>
      </c>
      <c r="Q67" s="14">
        <f t="shared" si="19"/>
        <v>229.35546874999994</v>
      </c>
      <c r="R67" s="14">
        <f t="shared" si="19"/>
        <v>229.35546874999994</v>
      </c>
      <c r="S67" s="14">
        <f t="shared" si="19"/>
        <v>229.35546874999994</v>
      </c>
      <c r="T67" s="14">
        <f t="shared" si="19"/>
        <v>229.35546874999994</v>
      </c>
      <c r="U67" s="14">
        <f t="shared" si="19"/>
        <v>229.35546874999994</v>
      </c>
      <c r="V67" s="14">
        <f t="shared" si="19"/>
        <v>229.35546874999994</v>
      </c>
      <c r="W67" s="14">
        <f t="shared" ref="L67:X77" si="20">V67</f>
        <v>229.35546874999994</v>
      </c>
    </row>
    <row r="68" spans="4:24" x14ac:dyDescent="0.25">
      <c r="D68">
        <v>5</v>
      </c>
      <c r="E68" s="14"/>
      <c r="F68" s="14"/>
      <c r="G68" s="14"/>
      <c r="H68" s="14"/>
      <c r="I68" s="14">
        <f>I$17*Assumptions!$F186/Assumptions!$I$21</f>
        <v>286.6943359375</v>
      </c>
      <c r="J68" s="14">
        <f>I68</f>
        <v>286.6943359375</v>
      </c>
      <c r="K68" s="14">
        <f t="shared" si="19"/>
        <v>286.6943359375</v>
      </c>
      <c r="L68" s="14">
        <f t="shared" si="19"/>
        <v>286.6943359375</v>
      </c>
      <c r="M68" s="14">
        <f t="shared" si="19"/>
        <v>286.6943359375</v>
      </c>
      <c r="N68" s="14">
        <f t="shared" si="19"/>
        <v>286.6943359375</v>
      </c>
      <c r="O68" s="14">
        <f t="shared" si="19"/>
        <v>286.6943359375</v>
      </c>
      <c r="P68" s="14">
        <f t="shared" si="19"/>
        <v>286.6943359375</v>
      </c>
      <c r="Q68" s="14">
        <f t="shared" si="19"/>
        <v>286.6943359375</v>
      </c>
      <c r="R68" s="14">
        <f t="shared" si="19"/>
        <v>286.6943359375</v>
      </c>
      <c r="S68" s="14">
        <f t="shared" si="19"/>
        <v>286.6943359375</v>
      </c>
      <c r="T68" s="14">
        <f t="shared" si="19"/>
        <v>286.6943359375</v>
      </c>
      <c r="U68" s="14">
        <f t="shared" si="19"/>
        <v>286.6943359375</v>
      </c>
      <c r="V68" s="14">
        <f t="shared" si="19"/>
        <v>286.6943359375</v>
      </c>
      <c r="W68" s="14">
        <f t="shared" si="20"/>
        <v>286.6943359375</v>
      </c>
      <c r="X68" s="14">
        <f t="shared" si="20"/>
        <v>286.6943359375</v>
      </c>
    </row>
    <row r="69" spans="4:24" x14ac:dyDescent="0.25">
      <c r="D69">
        <v>6</v>
      </c>
      <c r="E69" s="14"/>
      <c r="F69" s="14"/>
      <c r="G69" s="14"/>
      <c r="H69" s="14"/>
      <c r="I69" s="14"/>
      <c r="J69" s="14">
        <f>J$17*Assumptions!$F186/Assumptions!$I$21</f>
        <v>286.6943359375</v>
      </c>
      <c r="K69" s="14">
        <f>J69</f>
        <v>286.6943359375</v>
      </c>
      <c r="L69" s="14">
        <f t="shared" si="20"/>
        <v>286.6943359375</v>
      </c>
      <c r="M69" s="14">
        <f t="shared" si="20"/>
        <v>286.6943359375</v>
      </c>
      <c r="N69" s="14">
        <f t="shared" si="20"/>
        <v>286.6943359375</v>
      </c>
      <c r="O69" s="14">
        <f t="shared" si="20"/>
        <v>286.6943359375</v>
      </c>
      <c r="P69" s="14">
        <f t="shared" si="20"/>
        <v>286.6943359375</v>
      </c>
      <c r="Q69" s="14">
        <f t="shared" si="20"/>
        <v>286.6943359375</v>
      </c>
      <c r="R69" s="14">
        <f t="shared" si="20"/>
        <v>286.6943359375</v>
      </c>
      <c r="S69" s="14">
        <f t="shared" si="20"/>
        <v>286.6943359375</v>
      </c>
      <c r="T69" s="14">
        <f t="shared" si="20"/>
        <v>286.6943359375</v>
      </c>
      <c r="U69" s="14">
        <f t="shared" si="20"/>
        <v>286.6943359375</v>
      </c>
      <c r="V69" s="14">
        <f t="shared" si="20"/>
        <v>286.6943359375</v>
      </c>
      <c r="W69" s="14">
        <f t="shared" si="20"/>
        <v>286.6943359375</v>
      </c>
      <c r="X69" s="14">
        <f t="shared" si="20"/>
        <v>286.6943359375</v>
      </c>
    </row>
    <row r="70" spans="4:24" x14ac:dyDescent="0.25">
      <c r="D70">
        <v>7</v>
      </c>
      <c r="E70" s="14"/>
      <c r="F70" s="14"/>
      <c r="G70" s="14"/>
      <c r="H70" s="14"/>
      <c r="I70" s="14"/>
      <c r="J70" s="14"/>
      <c r="K70" s="14">
        <f>K$17*Assumptions!$F186/Assumptions!$I$21</f>
        <v>286.6943359375</v>
      </c>
      <c r="L70" s="14">
        <f>K70</f>
        <v>286.6943359375</v>
      </c>
      <c r="M70" s="14">
        <f t="shared" si="20"/>
        <v>286.6943359375</v>
      </c>
      <c r="N70" s="14">
        <f t="shared" si="20"/>
        <v>286.6943359375</v>
      </c>
      <c r="O70" s="14">
        <f t="shared" si="20"/>
        <v>286.6943359375</v>
      </c>
      <c r="P70" s="14">
        <f t="shared" si="20"/>
        <v>286.6943359375</v>
      </c>
      <c r="Q70" s="14">
        <f t="shared" si="20"/>
        <v>286.6943359375</v>
      </c>
      <c r="R70" s="14">
        <f t="shared" si="20"/>
        <v>286.6943359375</v>
      </c>
      <c r="S70" s="14">
        <f t="shared" si="20"/>
        <v>286.6943359375</v>
      </c>
      <c r="T70" s="14">
        <f t="shared" si="20"/>
        <v>286.6943359375</v>
      </c>
      <c r="U70" s="14">
        <f t="shared" si="20"/>
        <v>286.6943359375</v>
      </c>
      <c r="V70" s="14">
        <f t="shared" si="20"/>
        <v>286.6943359375</v>
      </c>
      <c r="W70" s="14">
        <f t="shared" si="20"/>
        <v>286.6943359375</v>
      </c>
      <c r="X70" s="14">
        <f t="shared" si="20"/>
        <v>286.6943359375</v>
      </c>
    </row>
    <row r="71" spans="4:24" x14ac:dyDescent="0.25">
      <c r="D71">
        <v>8</v>
      </c>
      <c r="E71" s="14"/>
      <c r="F71" s="14"/>
      <c r="G71" s="14"/>
      <c r="H71" s="14"/>
      <c r="I71" s="14"/>
      <c r="J71" s="14"/>
      <c r="K71" s="14"/>
      <c r="L71" s="14">
        <f>L$17*Assumptions!$F186/Assumptions!$I$21</f>
        <v>286.6943359375</v>
      </c>
      <c r="M71" s="14">
        <f>L71</f>
        <v>286.6943359375</v>
      </c>
      <c r="N71" s="14">
        <f t="shared" si="20"/>
        <v>286.6943359375</v>
      </c>
      <c r="O71" s="14">
        <f t="shared" si="20"/>
        <v>286.6943359375</v>
      </c>
      <c r="P71" s="14">
        <f t="shared" si="20"/>
        <v>286.6943359375</v>
      </c>
      <c r="Q71" s="14">
        <f t="shared" si="20"/>
        <v>286.6943359375</v>
      </c>
      <c r="R71" s="14">
        <f t="shared" si="20"/>
        <v>286.6943359375</v>
      </c>
      <c r="S71" s="14">
        <f t="shared" si="20"/>
        <v>286.6943359375</v>
      </c>
      <c r="T71" s="14">
        <f t="shared" si="20"/>
        <v>286.6943359375</v>
      </c>
      <c r="U71" s="14">
        <f t="shared" si="20"/>
        <v>286.6943359375</v>
      </c>
      <c r="V71" s="14">
        <f t="shared" si="20"/>
        <v>286.6943359375</v>
      </c>
      <c r="W71" s="14">
        <f t="shared" si="20"/>
        <v>286.6943359375</v>
      </c>
      <c r="X71" s="14">
        <f t="shared" si="20"/>
        <v>286.6943359375</v>
      </c>
    </row>
    <row r="72" spans="4:24" x14ac:dyDescent="0.25">
      <c r="D72">
        <v>9</v>
      </c>
      <c r="E72" s="14"/>
      <c r="F72" s="14"/>
      <c r="G72" s="14"/>
      <c r="H72" s="14"/>
      <c r="I72" s="14"/>
      <c r="J72" s="14"/>
      <c r="K72" s="14"/>
      <c r="L72" s="14"/>
      <c r="M72" s="14">
        <f>M$17*Assumptions!$F186/Assumptions!$I$21</f>
        <v>469.1361860795455</v>
      </c>
      <c r="N72" s="14">
        <f>M72</f>
        <v>469.1361860795455</v>
      </c>
      <c r="O72" s="14">
        <f t="shared" si="20"/>
        <v>469.1361860795455</v>
      </c>
      <c r="P72" s="14">
        <f t="shared" si="20"/>
        <v>469.1361860795455</v>
      </c>
      <c r="Q72" s="14">
        <f t="shared" si="20"/>
        <v>469.1361860795455</v>
      </c>
      <c r="R72" s="14">
        <f t="shared" si="20"/>
        <v>469.1361860795455</v>
      </c>
      <c r="S72" s="14">
        <f t="shared" si="20"/>
        <v>469.1361860795455</v>
      </c>
      <c r="T72" s="14">
        <f t="shared" si="20"/>
        <v>469.1361860795455</v>
      </c>
      <c r="U72" s="14">
        <f t="shared" si="20"/>
        <v>469.1361860795455</v>
      </c>
      <c r="V72" s="14">
        <f t="shared" si="20"/>
        <v>469.1361860795455</v>
      </c>
      <c r="W72" s="14">
        <f t="shared" si="20"/>
        <v>469.1361860795455</v>
      </c>
      <c r="X72" s="14">
        <f t="shared" si="20"/>
        <v>469.1361860795455</v>
      </c>
    </row>
    <row r="73" spans="4:24" x14ac:dyDescent="0.25">
      <c r="D73">
        <v>10</v>
      </c>
      <c r="E73" s="14"/>
      <c r="F73" s="14"/>
      <c r="G73" s="14"/>
      <c r="H73" s="14"/>
      <c r="I73" s="14"/>
      <c r="J73" s="14"/>
      <c r="K73" s="14"/>
      <c r="L73" s="14"/>
      <c r="M73" s="14"/>
      <c r="N73" s="14">
        <f>N$17*Assumptions!$F186/Assumptions!$I$21</f>
        <v>469.1361860795455</v>
      </c>
      <c r="O73" s="14">
        <f>N73</f>
        <v>469.1361860795455</v>
      </c>
      <c r="P73" s="14">
        <f t="shared" si="20"/>
        <v>469.1361860795455</v>
      </c>
      <c r="Q73" s="14">
        <f t="shared" si="20"/>
        <v>469.1361860795455</v>
      </c>
      <c r="R73" s="14">
        <f t="shared" si="20"/>
        <v>469.1361860795455</v>
      </c>
      <c r="S73" s="14">
        <f t="shared" si="20"/>
        <v>469.1361860795455</v>
      </c>
      <c r="T73" s="14">
        <f t="shared" si="20"/>
        <v>469.1361860795455</v>
      </c>
      <c r="U73" s="14">
        <f t="shared" si="20"/>
        <v>469.1361860795455</v>
      </c>
      <c r="V73" s="14">
        <f t="shared" si="20"/>
        <v>469.1361860795455</v>
      </c>
      <c r="W73" s="14">
        <f t="shared" si="20"/>
        <v>469.1361860795455</v>
      </c>
      <c r="X73" s="14">
        <f t="shared" si="20"/>
        <v>469.1361860795455</v>
      </c>
    </row>
    <row r="74" spans="4:24" x14ac:dyDescent="0.25">
      <c r="D74">
        <v>11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>
        <f>O$17*Assumptions!$F186/Assumptions!$I$21</f>
        <v>469.1361860795455</v>
      </c>
      <c r="P74" s="14">
        <f>O74</f>
        <v>469.1361860795455</v>
      </c>
      <c r="Q74" s="14">
        <f t="shared" si="20"/>
        <v>469.1361860795455</v>
      </c>
      <c r="R74" s="14">
        <f t="shared" si="20"/>
        <v>469.1361860795455</v>
      </c>
      <c r="S74" s="14">
        <f t="shared" si="20"/>
        <v>469.1361860795455</v>
      </c>
      <c r="T74" s="14">
        <f t="shared" si="20"/>
        <v>469.1361860795455</v>
      </c>
      <c r="U74" s="14">
        <f t="shared" si="20"/>
        <v>469.1361860795455</v>
      </c>
      <c r="V74" s="14">
        <f t="shared" si="20"/>
        <v>469.1361860795455</v>
      </c>
      <c r="W74" s="14">
        <f t="shared" si="20"/>
        <v>469.1361860795455</v>
      </c>
      <c r="X74" s="14">
        <f t="shared" si="20"/>
        <v>469.1361860795455</v>
      </c>
    </row>
    <row r="75" spans="4:24" x14ac:dyDescent="0.25">
      <c r="D75">
        <v>12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>
        <f>P$17*Assumptions!$F186/Assumptions!$I$21</f>
        <v>469.1361860795455</v>
      </c>
      <c r="Q75" s="14">
        <f>P75</f>
        <v>469.1361860795455</v>
      </c>
      <c r="R75" s="14">
        <f t="shared" si="20"/>
        <v>469.1361860795455</v>
      </c>
      <c r="S75" s="14">
        <f t="shared" si="20"/>
        <v>469.1361860795455</v>
      </c>
      <c r="T75" s="14">
        <f t="shared" si="20"/>
        <v>469.1361860795455</v>
      </c>
      <c r="U75" s="14">
        <f t="shared" si="20"/>
        <v>469.1361860795455</v>
      </c>
      <c r="V75" s="14">
        <f t="shared" si="20"/>
        <v>469.1361860795455</v>
      </c>
      <c r="W75" s="14">
        <f t="shared" si="20"/>
        <v>469.1361860795455</v>
      </c>
      <c r="X75" s="14">
        <f t="shared" si="20"/>
        <v>469.1361860795455</v>
      </c>
    </row>
    <row r="76" spans="4:24" x14ac:dyDescent="0.25">
      <c r="D76">
        <v>13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>
        <f>Q$17*Assumptions!$F186/Assumptions!$I$21</f>
        <v>1042.5248579545455</v>
      </c>
      <c r="R76" s="14">
        <f>Q76</f>
        <v>1042.5248579545455</v>
      </c>
      <c r="S76" s="14">
        <f t="shared" si="20"/>
        <v>1042.5248579545455</v>
      </c>
      <c r="T76" s="14">
        <f t="shared" si="20"/>
        <v>1042.5248579545455</v>
      </c>
      <c r="U76" s="14">
        <f t="shared" si="20"/>
        <v>1042.5248579545455</v>
      </c>
      <c r="V76" s="14">
        <f t="shared" si="20"/>
        <v>1042.5248579545455</v>
      </c>
      <c r="W76" s="14">
        <f t="shared" si="20"/>
        <v>1042.5248579545455</v>
      </c>
      <c r="X76" s="14">
        <f t="shared" si="20"/>
        <v>1042.5248579545455</v>
      </c>
    </row>
    <row r="77" spans="4:24" x14ac:dyDescent="0.25">
      <c r="D77">
        <v>14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>
        <f>R$17*Assumptions!$F186/Assumptions!$I$21</f>
        <v>1042.5248579545455</v>
      </c>
      <c r="S77" s="14">
        <f t="shared" si="20"/>
        <v>1042.5248579545455</v>
      </c>
      <c r="T77" s="14">
        <f t="shared" si="20"/>
        <v>1042.5248579545455</v>
      </c>
      <c r="U77" s="14">
        <f t="shared" si="20"/>
        <v>1042.5248579545455</v>
      </c>
      <c r="V77" s="14">
        <f t="shared" si="20"/>
        <v>1042.5248579545455</v>
      </c>
      <c r="W77" s="14">
        <f t="shared" si="20"/>
        <v>1042.5248579545455</v>
      </c>
      <c r="X77" s="14">
        <f t="shared" si="20"/>
        <v>1042.5248579545455</v>
      </c>
    </row>
    <row r="78" spans="4:24" x14ac:dyDescent="0.25">
      <c r="D78">
        <v>15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>
        <f>S$17*Assumptions!$F186/Assumptions!$I$21</f>
        <v>1042.5248579545455</v>
      </c>
      <c r="T78" s="14">
        <f>S78</f>
        <v>1042.5248579545455</v>
      </c>
      <c r="U78" s="14">
        <f>T78</f>
        <v>1042.5248579545455</v>
      </c>
      <c r="V78" s="14">
        <f>U78</f>
        <v>1042.5248579545455</v>
      </c>
      <c r="W78" s="14">
        <f>V78</f>
        <v>1042.5248579545455</v>
      </c>
      <c r="X78" s="14">
        <f>W78</f>
        <v>1042.5248579545455</v>
      </c>
    </row>
    <row r="79" spans="4:24" x14ac:dyDescent="0.25">
      <c r="D79">
        <v>16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>
        <f>T$17*Assumptions!$F186/Assumptions!$I$21</f>
        <v>1042.5248579545455</v>
      </c>
      <c r="U79" s="14">
        <f>T79</f>
        <v>1042.5248579545455</v>
      </c>
      <c r="V79" s="14">
        <f>U79</f>
        <v>1042.5248579545455</v>
      </c>
      <c r="W79" s="14">
        <f>V79</f>
        <v>1042.5248579545455</v>
      </c>
      <c r="X79" s="14">
        <f>W79</f>
        <v>1042.5248579545455</v>
      </c>
    </row>
    <row r="80" spans="4:24" x14ac:dyDescent="0.25">
      <c r="D80">
        <v>17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>
        <f>U$17*Assumptions!$F186/Assumptions!$I$21</f>
        <v>2085.049715909091</v>
      </c>
      <c r="V80" s="14">
        <f>U80</f>
        <v>2085.049715909091</v>
      </c>
      <c r="W80" s="14">
        <f>V80</f>
        <v>2085.049715909091</v>
      </c>
      <c r="X80" s="14">
        <f>W80</f>
        <v>2085.049715909091</v>
      </c>
    </row>
    <row r="81" spans="4:24" x14ac:dyDescent="0.25">
      <c r="D81">
        <v>18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>
        <f>V$17*Assumptions!$F186/Assumptions!$I$21</f>
        <v>2085.049715909091</v>
      </c>
      <c r="W81" s="14">
        <f>V81</f>
        <v>2085.049715909091</v>
      </c>
      <c r="X81" s="14">
        <f>W81</f>
        <v>2085.049715909091</v>
      </c>
    </row>
    <row r="82" spans="4:24" x14ac:dyDescent="0.25">
      <c r="D82">
        <v>19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>
        <f>W$17*Assumptions!$F186/Assumptions!$I$21</f>
        <v>2085.049715909091</v>
      </c>
      <c r="X82" s="14">
        <f>W82</f>
        <v>2085.049715909091</v>
      </c>
    </row>
    <row r="83" spans="4:24" x14ac:dyDescent="0.25">
      <c r="D83">
        <v>20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>
        <f>X$13/Assumptions!$I$21</f>
        <v>461.2548828125</v>
      </c>
    </row>
    <row r="84" spans="4:24" x14ac:dyDescent="0.25"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4:24" x14ac:dyDescent="0.25"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4:24" x14ac:dyDescent="0.25"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4:24" x14ac:dyDescent="0.25"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4:24" x14ac:dyDescent="0.25"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4:24" x14ac:dyDescent="0.25"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4:24" x14ac:dyDescent="0.25"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4:24" x14ac:dyDescent="0.25"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4:24" x14ac:dyDescent="0.25"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4:24" x14ac:dyDescent="0.25"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4:24" x14ac:dyDescent="0.25"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4:24" x14ac:dyDescent="0.25"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4:24" x14ac:dyDescent="0.25"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5:23" x14ac:dyDescent="0.25"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5:23" x14ac:dyDescent="0.25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5:23" x14ac:dyDescent="0.25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5:23" x14ac:dyDescent="0.25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5:23" x14ac:dyDescent="0.25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5:23" x14ac:dyDescent="0.25"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5:23" x14ac:dyDescent="0.25"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5:23" x14ac:dyDescent="0.25"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5:23" x14ac:dyDescent="0.25"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5:23" x14ac:dyDescent="0.25"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5:23" x14ac:dyDescent="0.25"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5:23" x14ac:dyDescent="0.25"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5:23" x14ac:dyDescent="0.25"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5:23" x14ac:dyDescent="0.25"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5:23" x14ac:dyDescent="0.25"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</sheetData>
  <mergeCells count="5">
    <mergeCell ref="E2:H2"/>
    <mergeCell ref="I2:L2"/>
    <mergeCell ref="M2:P2"/>
    <mergeCell ref="Q2:T2"/>
    <mergeCell ref="U2:X2"/>
  </mergeCells>
  <pageMargins left="0.7" right="0.7" top="0.75" bottom="0.75" header="0.3" footer="0.3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Macro Light</vt:lpstr>
      <vt:lpstr>Assumptions</vt:lpstr>
      <vt:lpstr>Macro Light -Time Line</vt:lpstr>
      <vt:lpstr>ML</vt:lpstr>
      <vt:lpstr>Step</vt:lpstr>
      <vt:lpstr>TLC</vt:lpstr>
    </vt:vector>
  </TitlesOfParts>
  <Company>Lecoma International,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Stanley</dc:creator>
  <cp:lastModifiedBy>spygl</cp:lastModifiedBy>
  <cp:lastPrinted>2017-01-10T19:25:44Z</cp:lastPrinted>
  <dcterms:created xsi:type="dcterms:W3CDTF">2015-04-30T13:04:33Z</dcterms:created>
  <dcterms:modified xsi:type="dcterms:W3CDTF">2019-03-22T20:13:40Z</dcterms:modified>
</cp:coreProperties>
</file>